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Dators\Desktop\CELI\decembris_SUTISANAS PAKA\"/>
    </mc:Choice>
  </mc:AlternateContent>
  <xr:revisionPtr revIDLastSave="0" documentId="13_ncr:1_{2B6507A2-267B-44D3-AB10-B7C3CFBC7E80}" xr6:coauthVersionLast="47" xr6:coauthVersionMax="47" xr10:uidLastSave="{00000000-0000-0000-0000-000000000000}"/>
  <bookViews>
    <workbookView xWindow="-108" yWindow="-108" windowWidth="41496" windowHeight="16776" tabRatio="799" xr2:uid="{00000000-000D-0000-FFFF-FFFF00000000}"/>
  </bookViews>
  <sheets>
    <sheet name="KOPSAVILKUMS" sheetId="24" r:id="rId1"/>
    <sheet name="Aronas pagasts" sheetId="1" r:id="rId2"/>
    <sheet name="Barkavas pagasts" sheetId="2" r:id="rId3"/>
    <sheet name="Bērzaunes pagasts" sheetId="3" r:id="rId4"/>
    <sheet name="Cesvaines pagasts" sheetId="4" r:id="rId5"/>
    <sheet name="Cesvaines ielas" sheetId="5" r:id="rId6"/>
    <sheet name="Dzelzavas pagasts" sheetId="6" r:id="rId7"/>
    <sheet name="Ērgļu pagasts" sheetId="7" r:id="rId8"/>
    <sheet name="Indrānu pagasts" sheetId="8" r:id="rId9"/>
    <sheet name="Kalsnavas pagasts" sheetId="10" r:id="rId10"/>
    <sheet name="Jumurdas pagasts" sheetId="9" r:id="rId11"/>
    <sheet name="Ļaudonas pagasts" sheetId="11" r:id="rId12"/>
    <sheet name="Lazdonas pagasts" sheetId="12" r:id="rId13"/>
    <sheet name="Liezēres pagasts" sheetId="13" r:id="rId14"/>
    <sheet name="Lubānas ielas" sheetId="14" r:id="rId15"/>
    <sheet name="Madonas ielas" sheetId="15" r:id="rId16"/>
    <sheet name="Mārcienas pagasts" sheetId="16" r:id="rId17"/>
    <sheet name="Mētrienas pagasts" sheetId="17" r:id="rId18"/>
    <sheet name="Murmastienes pagasts" sheetId="25" r:id="rId19"/>
    <sheet name="Ošupes pagasts" sheetId="18" r:id="rId20"/>
    <sheet name="Praulienas pagasts" sheetId="19" r:id="rId21"/>
    <sheet name="Sarkaņu pagasts" sheetId="20" r:id="rId22"/>
    <sheet name="Sausnējas pagasts" sheetId="21" r:id="rId23"/>
    <sheet name="Varakļānu pagasts" sheetId="26" r:id="rId24"/>
    <sheet name="Varakļānu pilsēta" sheetId="27" r:id="rId25"/>
    <sheet name="Vestienas pagasts" sheetId="23" r:id="rId26"/>
  </sheets>
  <definedNames>
    <definedName name="_xlnm._FilterDatabase" localSheetId="1" hidden="1">'Aronas pagasts'!$A$1:$A$153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9" i="15" l="1"/>
  <c r="F198" i="15"/>
  <c r="F197" i="15"/>
  <c r="E192" i="15"/>
  <c r="F192" i="15" s="1"/>
  <c r="E191" i="15"/>
  <c r="F191" i="15" s="1"/>
  <c r="F181" i="15"/>
  <c r="F175" i="15"/>
  <c r="E174" i="15"/>
  <c r="F174" i="15" s="1"/>
  <c r="E173" i="15"/>
  <c r="F173" i="15" s="1"/>
  <c r="E172" i="15"/>
  <c r="F172" i="15" s="1"/>
  <c r="F170" i="15"/>
  <c r="F168" i="15"/>
  <c r="E167" i="15"/>
  <c r="F167" i="15" s="1"/>
  <c r="E163" i="15"/>
  <c r="F163" i="15" s="1"/>
  <c r="F162" i="15"/>
  <c r="E162" i="15"/>
  <c r="F159" i="15"/>
  <c r="F158" i="15"/>
  <c r="E158" i="15"/>
  <c r="F157" i="15"/>
  <c r="E157" i="15"/>
  <c r="F156" i="15"/>
  <c r="E156" i="15"/>
  <c r="F153" i="15"/>
  <c r="E152" i="15"/>
  <c r="F152" i="15" s="1"/>
  <c r="F149" i="15"/>
  <c r="F148" i="15"/>
  <c r="F147" i="15"/>
  <c r="F145" i="15"/>
  <c r="F144" i="15"/>
  <c r="F142" i="15"/>
  <c r="E142" i="15"/>
  <c r="F141" i="15"/>
  <c r="E141" i="15"/>
  <c r="F139" i="15"/>
  <c r="F137" i="15"/>
  <c r="F133" i="15"/>
  <c r="E132" i="15"/>
  <c r="F132" i="15" s="1"/>
  <c r="E128" i="15"/>
  <c r="F128" i="15" s="1"/>
  <c r="E127" i="15"/>
  <c r="F127" i="15" s="1"/>
  <c r="E126" i="15"/>
  <c r="F124" i="15"/>
  <c r="F123" i="15"/>
  <c r="E123" i="15"/>
  <c r="E122" i="15"/>
  <c r="F122" i="15" s="1"/>
  <c r="E121" i="15"/>
  <c r="F121" i="15" s="1"/>
  <c r="F119" i="15"/>
  <c r="E118" i="15"/>
  <c r="F118" i="15" s="1"/>
  <c r="E117" i="15"/>
  <c r="F117" i="15" s="1"/>
  <c r="F113" i="15"/>
  <c r="E112" i="15"/>
  <c r="F112" i="15" s="1"/>
  <c r="F110" i="15"/>
  <c r="E109" i="15"/>
  <c r="F109" i="15" s="1"/>
  <c r="F107" i="15"/>
  <c r="F106" i="15"/>
  <c r="F105" i="15"/>
  <c r="F103" i="15"/>
  <c r="F102" i="15"/>
  <c r="F101" i="15"/>
  <c r="F100" i="15"/>
  <c r="F99" i="15"/>
  <c r="E98" i="15"/>
  <c r="F98" i="15" s="1"/>
  <c r="F90" i="15"/>
  <c r="E89" i="15"/>
  <c r="F89" i="15" s="1"/>
  <c r="E88" i="15"/>
  <c r="F88" i="15" s="1"/>
  <c r="F87" i="15"/>
  <c r="E86" i="15"/>
  <c r="F86" i="15" s="1"/>
  <c r="E85" i="15"/>
  <c r="F85" i="15" s="1"/>
  <c r="E84" i="15"/>
  <c r="F84" i="15" s="1"/>
  <c r="F82" i="15"/>
  <c r="E81" i="15"/>
  <c r="F81" i="15" s="1"/>
  <c r="C76" i="15"/>
  <c r="D76" i="15" s="1"/>
  <c r="C77" i="15" s="1"/>
  <c r="D77" i="15" s="1"/>
  <c r="C78" i="15" s="1"/>
  <c r="D78" i="15" s="1"/>
  <c r="E75" i="15" s="1"/>
  <c r="F74" i="15"/>
  <c r="F71" i="15"/>
  <c r="E70" i="15"/>
  <c r="F70" i="15" s="1"/>
  <c r="E69" i="15"/>
  <c r="F69" i="15" s="1"/>
  <c r="E68" i="15"/>
  <c r="F68" i="15" s="1"/>
  <c r="F66" i="15"/>
  <c r="E65" i="15"/>
  <c r="F65" i="15" s="1"/>
  <c r="E64" i="15"/>
  <c r="F64" i="15" s="1"/>
  <c r="E63" i="15"/>
  <c r="F63" i="15" s="1"/>
  <c r="F62" i="15"/>
  <c r="F60" i="15"/>
  <c r="F59" i="15"/>
  <c r="F55" i="15"/>
  <c r="F53" i="15"/>
  <c r="F50" i="15"/>
  <c r="F48" i="15"/>
  <c r="F44" i="15"/>
  <c r="F42" i="15"/>
  <c r="F41" i="15"/>
  <c r="F39" i="15"/>
  <c r="F37" i="15"/>
  <c r="F36" i="15"/>
  <c r="E35" i="15"/>
  <c r="F35" i="15" s="1"/>
  <c r="F33" i="15"/>
  <c r="F22" i="15"/>
  <c r="F17" i="15"/>
  <c r="F15" i="15"/>
  <c r="F14" i="15"/>
  <c r="F11" i="15"/>
  <c r="F7" i="15"/>
  <c r="C249" i="10"/>
  <c r="D249" i="10" s="1"/>
  <c r="C250" i="10" s="1"/>
  <c r="E248" i="10"/>
  <c r="C43" i="10"/>
  <c r="C42" i="10"/>
  <c r="C41" i="10"/>
  <c r="C40" i="10"/>
  <c r="C39" i="10"/>
  <c r="D37" i="26"/>
  <c r="E120" i="18"/>
  <c r="E119" i="18"/>
  <c r="E118" i="18"/>
  <c r="E115" i="18"/>
  <c r="E114" i="18"/>
  <c r="E111" i="18"/>
  <c r="E110" i="18"/>
  <c r="E103" i="18"/>
  <c r="E102" i="18"/>
  <c r="E101" i="18"/>
  <c r="E83" i="18"/>
  <c r="E82" i="18"/>
  <c r="D77" i="18"/>
  <c r="C78" i="18" s="1"/>
  <c r="D78" i="18" s="1"/>
  <c r="C79" i="18" s="1"/>
  <c r="D79" i="18" s="1"/>
  <c r="E77" i="18" s="1"/>
  <c r="D72" i="18"/>
  <c r="C73" i="18" s="1"/>
  <c r="D73" i="18" s="1"/>
  <c r="C74" i="18" s="1"/>
  <c r="D74" i="18" s="1"/>
  <c r="C75" i="18" s="1"/>
  <c r="E53" i="18"/>
  <c r="E52" i="18"/>
  <c r="E106" i="13"/>
  <c r="E105" i="13"/>
  <c r="E79" i="13"/>
  <c r="E50" i="13"/>
  <c r="C34" i="13"/>
  <c r="E29" i="13"/>
  <c r="E28" i="13"/>
  <c r="Q26" i="13"/>
  <c r="P26" i="13"/>
  <c r="E26" i="13"/>
  <c r="D26" i="13"/>
  <c r="C27" i="13" s="1"/>
  <c r="C26" i="13"/>
  <c r="F252" i="7"/>
  <c r="F248" i="7"/>
  <c r="F243" i="7"/>
  <c r="F242" i="7"/>
  <c r="F240" i="7"/>
  <c r="F238" i="7"/>
  <c r="F235" i="7"/>
  <c r="F229" i="7"/>
  <c r="F227" i="7"/>
  <c r="F225" i="7"/>
  <c r="F220" i="7"/>
  <c r="F216" i="7"/>
  <c r="F211" i="7"/>
  <c r="F208" i="7"/>
  <c r="F207" i="7"/>
  <c r="F204" i="7"/>
  <c r="F202" i="7"/>
  <c r="F195" i="7"/>
  <c r="F194" i="7"/>
  <c r="F184" i="7"/>
  <c r="F178" i="7"/>
  <c r="F172" i="7"/>
  <c r="F166" i="7"/>
  <c r="F160" i="7"/>
  <c r="F159" i="7"/>
  <c r="F158" i="7"/>
  <c r="F153" i="7"/>
  <c r="F144" i="7"/>
  <c r="F140" i="7"/>
  <c r="F139" i="7"/>
  <c r="F129" i="7"/>
  <c r="F126" i="7"/>
  <c r="F115" i="7"/>
  <c r="F114" i="7"/>
  <c r="F106" i="7"/>
  <c r="F102" i="7"/>
  <c r="F73" i="7"/>
  <c r="F67" i="7"/>
  <c r="F58" i="7"/>
  <c r="F57" i="7"/>
  <c r="F56" i="7"/>
  <c r="F47" i="7"/>
  <c r="F45" i="7"/>
  <c r="F43" i="7"/>
  <c r="F36" i="7"/>
  <c r="F30" i="7"/>
  <c r="F28" i="7"/>
  <c r="D31" i="24"/>
  <c r="E31" i="24"/>
  <c r="F31" i="24"/>
  <c r="G31" i="24"/>
  <c r="H31" i="24"/>
  <c r="I31" i="24"/>
  <c r="J31" i="24"/>
  <c r="K31" i="24"/>
  <c r="L31" i="24"/>
  <c r="M31" i="24"/>
  <c r="N31" i="24"/>
  <c r="O31" i="24"/>
  <c r="P31" i="24"/>
  <c r="Q31" i="24"/>
  <c r="R31" i="24"/>
  <c r="S31" i="24"/>
  <c r="T31" i="24"/>
  <c r="U31" i="24"/>
  <c r="V31" i="24"/>
  <c r="W31" i="24"/>
  <c r="X31" i="24"/>
  <c r="Y31" i="24"/>
  <c r="Z31" i="24"/>
  <c r="AA31" i="24"/>
  <c r="AB31" i="24"/>
  <c r="AC31" i="24"/>
  <c r="AD31" i="24"/>
  <c r="F49" i="5"/>
  <c r="R48" i="5"/>
  <c r="D48" i="5"/>
  <c r="F48" i="5" s="1"/>
  <c r="D38" i="5"/>
  <c r="C38" i="5"/>
  <c r="F29" i="5"/>
  <c r="F20" i="5"/>
  <c r="F19" i="5"/>
  <c r="F15" i="5"/>
  <c r="F14" i="5"/>
  <c r="F10" i="5"/>
  <c r="F8" i="5"/>
  <c r="D8" i="5"/>
  <c r="C8" i="5"/>
  <c r="F124" i="4"/>
  <c r="F122" i="4"/>
  <c r="F120" i="4"/>
  <c r="F119" i="4"/>
  <c r="F117" i="4"/>
  <c r="F115" i="4"/>
  <c r="F113" i="4"/>
  <c r="F111" i="4"/>
  <c r="F110" i="4"/>
  <c r="F108" i="4"/>
  <c r="F107" i="4"/>
  <c r="F106" i="4"/>
  <c r="F104" i="4"/>
  <c r="F100" i="4"/>
  <c r="F97" i="4"/>
  <c r="F96" i="4"/>
  <c r="F94" i="4"/>
  <c r="F93" i="4"/>
  <c r="F91" i="4"/>
  <c r="F90" i="4"/>
  <c r="F88" i="4"/>
  <c r="F87" i="4"/>
  <c r="F86" i="4"/>
  <c r="F82" i="4"/>
  <c r="F81" i="4"/>
  <c r="F80" i="4"/>
  <c r="F79" i="4"/>
  <c r="F77" i="4"/>
  <c r="F76" i="4"/>
  <c r="F75" i="4"/>
  <c r="F74" i="4"/>
  <c r="F73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P17" i="2"/>
  <c r="F15" i="2"/>
  <c r="F98" i="11"/>
  <c r="D8" i="16"/>
  <c r="C132" i="23"/>
  <c r="D132" i="23" s="1"/>
  <c r="E131" i="23" s="1"/>
  <c r="F129" i="23"/>
  <c r="F86" i="21"/>
  <c r="F84" i="21"/>
  <c r="F81" i="21"/>
  <c r="F78" i="21"/>
  <c r="F75" i="21"/>
  <c r="F73" i="21"/>
  <c r="F71" i="21"/>
  <c r="F68" i="21"/>
  <c r="F65" i="21"/>
  <c r="F61" i="21"/>
  <c r="F60" i="21"/>
  <c r="F59" i="21"/>
  <c r="F58" i="21"/>
  <c r="F57" i="21"/>
  <c r="F48" i="21"/>
  <c r="F47" i="21"/>
  <c r="F45" i="21"/>
  <c r="F42" i="21"/>
  <c r="F37" i="21"/>
  <c r="F34" i="21"/>
  <c r="F33" i="21"/>
  <c r="E32" i="21"/>
  <c r="F32" i="21" s="1"/>
  <c r="F28" i="21"/>
  <c r="F27" i="21"/>
  <c r="F23" i="21"/>
  <c r="F21" i="21"/>
  <c r="F18" i="21"/>
  <c r="F17" i="21"/>
  <c r="F16" i="21"/>
  <c r="F15" i="21"/>
  <c r="F14" i="21"/>
  <c r="F13" i="21"/>
  <c r="F12" i="21"/>
  <c r="F7" i="21"/>
  <c r="C49" i="5" l="1"/>
  <c r="D49" i="5" s="1"/>
  <c r="F153" i="19"/>
  <c r="D111" i="19"/>
  <c r="D110" i="19"/>
  <c r="D109" i="19"/>
  <c r="D108" i="19"/>
  <c r="D107" i="19"/>
  <c r="D106" i="19"/>
  <c r="D105" i="19"/>
  <c r="F104" i="19"/>
  <c r="C35" i="19"/>
  <c r="D35" i="19" s="1"/>
  <c r="C36" i="19" s="1"/>
  <c r="D36" i="19" s="1"/>
  <c r="C37" i="19" s="1"/>
  <c r="D37" i="19" s="1"/>
  <c r="C38" i="19" s="1"/>
  <c r="D38" i="19" s="1"/>
  <c r="C39" i="19" s="1"/>
  <c r="C157" i="16"/>
  <c r="F154" i="16"/>
  <c r="C153" i="16"/>
  <c r="F145" i="16"/>
  <c r="C140" i="16"/>
  <c r="D140" i="16" s="1"/>
  <c r="C141" i="16" s="1"/>
  <c r="D141" i="16" s="1"/>
  <c r="D134" i="16"/>
  <c r="C127" i="16"/>
  <c r="D127" i="16" s="1"/>
  <c r="C128" i="16" s="1"/>
  <c r="D128" i="16" s="1"/>
  <c r="C129" i="16" s="1"/>
  <c r="D129" i="16" s="1"/>
  <c r="C130" i="16" s="1"/>
  <c r="D130" i="16" s="1"/>
  <c r="C131" i="16" s="1"/>
  <c r="D131" i="16" s="1"/>
  <c r="C132" i="16" s="1"/>
  <c r="D132" i="16" s="1"/>
  <c r="C134" i="16" s="1"/>
  <c r="D121" i="16"/>
  <c r="C111" i="16"/>
  <c r="D111" i="16" s="1"/>
  <c r="C106" i="16"/>
  <c r="D106" i="16" s="1"/>
  <c r="C107" i="16" s="1"/>
  <c r="D107" i="16" s="1"/>
  <c r="C108" i="16" s="1"/>
  <c r="D108" i="16" s="1"/>
  <c r="C104" i="16"/>
  <c r="D104" i="16" s="1"/>
  <c r="D103" i="16"/>
  <c r="D101" i="16"/>
  <c r="C102" i="16" s="1"/>
  <c r="D102" i="16" s="1"/>
  <c r="D99" i="16"/>
  <c r="C100" i="16" s="1"/>
  <c r="D100" i="16" s="1"/>
  <c r="C92" i="16"/>
  <c r="D92" i="16" s="1"/>
  <c r="C93" i="16" s="1"/>
  <c r="D93" i="16" s="1"/>
  <c r="C94" i="16" s="1"/>
  <c r="D94" i="16" s="1"/>
  <c r="C95" i="16" s="1"/>
  <c r="D95" i="16" s="1"/>
  <c r="C96" i="16" s="1"/>
  <c r="D96" i="16" s="1"/>
  <c r="D87" i="16"/>
  <c r="C88" i="16" s="1"/>
  <c r="D88" i="16" s="1"/>
  <c r="C89" i="16" s="1"/>
  <c r="D89" i="16" s="1"/>
  <c r="C90" i="16" s="1"/>
  <c r="D90" i="16" s="1"/>
  <c r="D86" i="16"/>
  <c r="D85" i="16"/>
  <c r="C82" i="16"/>
  <c r="D82" i="16" s="1"/>
  <c r="C78" i="16"/>
  <c r="D78" i="16" s="1"/>
  <c r="C79" i="16" s="1"/>
  <c r="D79" i="16" s="1"/>
  <c r="C80" i="16" s="1"/>
  <c r="D80" i="16" s="1"/>
  <c r="F77" i="16"/>
  <c r="C58" i="16"/>
  <c r="D58" i="16" s="1"/>
  <c r="C59" i="16" s="1"/>
  <c r="D59" i="16" s="1"/>
  <c r="C60" i="16" s="1"/>
  <c r="D60" i="16" s="1"/>
  <c r="C61" i="16" s="1"/>
  <c r="D61" i="16" s="1"/>
  <c r="D57" i="16"/>
  <c r="D55" i="16"/>
  <c r="C56" i="16" s="1"/>
  <c r="D56" i="16" s="1"/>
  <c r="C55" i="16"/>
  <c r="C50" i="16"/>
  <c r="D50" i="16" s="1"/>
  <c r="D45" i="16"/>
  <c r="F44" i="16"/>
  <c r="C41" i="16"/>
  <c r="F40" i="16"/>
  <c r="C35" i="16"/>
  <c r="C34" i="16"/>
  <c r="D62" i="16" l="1"/>
  <c r="C62" i="16"/>
  <c r="C112" i="16"/>
  <c r="D112" i="16"/>
  <c r="C83" i="16"/>
  <c r="D83" i="16"/>
  <c r="E81" i="16" s="1"/>
  <c r="D113" i="16" l="1"/>
  <c r="C113" i="16"/>
  <c r="F150" i="11" l="1"/>
  <c r="F146" i="11"/>
  <c r="F143" i="11"/>
  <c r="F140" i="11"/>
  <c r="F133" i="11"/>
  <c r="F126" i="11"/>
  <c r="F114" i="11"/>
  <c r="F112" i="11"/>
  <c r="F110" i="11"/>
  <c r="D110" i="11"/>
  <c r="F108" i="11"/>
  <c r="F104" i="11"/>
  <c r="F102" i="11"/>
  <c r="F83" i="11"/>
  <c r="F80" i="11"/>
  <c r="F76" i="11"/>
  <c r="F75" i="11"/>
  <c r="F68" i="11"/>
  <c r="F64" i="11"/>
  <c r="D56" i="11"/>
  <c r="C54" i="11"/>
  <c r="C52" i="11"/>
  <c r="D52" i="11" s="1"/>
  <c r="C53" i="11" s="1"/>
  <c r="E51" i="11"/>
  <c r="F51" i="11" s="1"/>
  <c r="F42" i="11"/>
  <c r="F39" i="11"/>
  <c r="F31" i="11"/>
  <c r="F29" i="11"/>
  <c r="F25" i="11"/>
  <c r="F24" i="11"/>
  <c r="F78" i="9" l="1"/>
  <c r="F77" i="9"/>
  <c r="F71" i="9"/>
  <c r="F69" i="9"/>
  <c r="F62" i="9"/>
  <c r="F57" i="9"/>
  <c r="F55" i="9"/>
  <c r="F54" i="9"/>
  <c r="F53" i="9"/>
  <c r="F47" i="9"/>
  <c r="F46" i="9"/>
  <c r="F43" i="9"/>
  <c r="F31" i="9"/>
  <c r="F30" i="9"/>
  <c r="F27" i="9"/>
  <c r="F23" i="9"/>
  <c r="F22" i="9"/>
  <c r="F21" i="9"/>
  <c r="F13" i="9"/>
  <c r="F8" i="9"/>
  <c r="F7" i="9"/>
  <c r="F42" i="6"/>
  <c r="F75" i="1" l="1"/>
  <c r="F48" i="1"/>
</calcChain>
</file>

<file path=xl/sharedStrings.xml><?xml version="1.0" encoding="utf-8"?>
<sst xmlns="http://schemas.openxmlformats.org/spreadsheetml/2006/main" count="8397" uniqueCount="3998">
  <si>
    <t>Madonas novada pašvaldības Aronas pagasta pārvaldes autoceļu un ielu saraksts</t>
  </si>
  <si>
    <t>Ceļa identifikators</t>
  </si>
  <si>
    <t>Ceļa nosaukums</t>
  </si>
  <si>
    <t>Ceļu raksturojošie parametri</t>
  </si>
  <si>
    <t>Kadastra objekta identifikators**</t>
  </si>
  <si>
    <t>Tās pilsētas vai ciema nosaukums, kurā atrodas ceļš</t>
  </si>
  <si>
    <t xml:space="preserve">Piezīmes </t>
  </si>
  <si>
    <t>Piezīmes papildus</t>
  </si>
  <si>
    <t>ceļš</t>
  </si>
  <si>
    <t>tilts vai satiksmes pārvads</t>
  </si>
  <si>
    <t>gājēju un velosipēdu ceļš*</t>
  </si>
  <si>
    <t>adrese (km)</t>
  </si>
  <si>
    <t>garums (km)</t>
  </si>
  <si>
    <r>
      <t>brauktuves laukums (m</t>
    </r>
    <r>
      <rPr>
        <vertAlign val="superscript"/>
        <sz val="11"/>
        <rFont val="Times New Roman"/>
        <family val="1"/>
        <charset val="186"/>
      </rPr>
      <t>2</t>
    </r>
    <r>
      <rPr>
        <sz val="11"/>
        <rFont val="Times New Roman"/>
        <family val="1"/>
        <charset val="186"/>
      </rPr>
      <t>)</t>
    </r>
  </si>
  <si>
    <t>seguma veids</t>
  </si>
  <si>
    <t>nosaukums</t>
  </si>
  <si>
    <t>adrese</t>
  </si>
  <si>
    <t>garums (m)</t>
  </si>
  <si>
    <r>
      <t>divlīmeņu nobrauktuves brauktuves laukums (m</t>
    </r>
    <r>
      <rPr>
        <vertAlign val="superscript"/>
        <sz val="11"/>
        <rFont val="Times New Roman"/>
        <family val="1"/>
        <charset val="186"/>
      </rPr>
      <t>2</t>
    </r>
    <r>
      <rPr>
        <sz val="11"/>
        <rFont val="Times New Roman"/>
        <family val="1"/>
        <charset val="186"/>
      </rPr>
      <t>)</t>
    </r>
  </si>
  <si>
    <t>divlīmeņu nobrauktuves brauktuves garums (m)</t>
  </si>
  <si>
    <r>
      <t>laukums (m</t>
    </r>
    <r>
      <rPr>
        <vertAlign val="superscript"/>
        <sz val="11"/>
        <rFont val="Times New Roman"/>
        <family val="1"/>
        <charset val="186"/>
      </rPr>
      <t>2</t>
    </r>
    <r>
      <rPr>
        <sz val="11"/>
        <rFont val="Times New Roman"/>
        <family val="1"/>
        <charset val="186"/>
      </rPr>
      <t>)*</t>
    </r>
  </si>
  <si>
    <t>būves kadastra apzīmējums**</t>
  </si>
  <si>
    <t>no</t>
  </si>
  <si>
    <t>līdz</t>
  </si>
  <si>
    <t>km</t>
  </si>
  <si>
    <t>ģeodēziskās koordinātas</t>
  </si>
  <si>
    <t>1</t>
  </si>
  <si>
    <t>A100384000001</t>
  </si>
  <si>
    <t>Melioratoru iela</t>
  </si>
  <si>
    <t>asfalts</t>
  </si>
  <si>
    <t>Kusa</t>
  </si>
  <si>
    <t>Inženierbūve nav reģistrēta nepietiekošu pašvaldības budžeta līdzekļu dēļ. Tiks reģistrēta līdz 2032. gada 30.decembrim</t>
  </si>
  <si>
    <t>grants</t>
  </si>
  <si>
    <t>A100384000002</t>
  </si>
  <si>
    <t>E.Graudiņa iela</t>
  </si>
  <si>
    <t>A100384000003</t>
  </si>
  <si>
    <t>Skolas iela</t>
  </si>
  <si>
    <t>70420060311*</t>
  </si>
  <si>
    <t>A100384000004</t>
  </si>
  <si>
    <t>Viesienas iela</t>
  </si>
  <si>
    <t>Lautere</t>
  </si>
  <si>
    <t>A100384000005</t>
  </si>
  <si>
    <t>Bērzu iela</t>
  </si>
  <si>
    <t>A100384000006</t>
  </si>
  <si>
    <t>Rožu iela</t>
  </si>
  <si>
    <t>A100384000007</t>
  </si>
  <si>
    <t>Meža iela</t>
  </si>
  <si>
    <t>A100384000008</t>
  </si>
  <si>
    <t>Torņa iela</t>
  </si>
  <si>
    <t>A100384000009</t>
  </si>
  <si>
    <t xml:space="preserve"> Nr.136; Lauteres kultūras nams-Saulrieti</t>
  </si>
  <si>
    <t>melnais</t>
  </si>
  <si>
    <t>70420050323*</t>
  </si>
  <si>
    <t>70420050209*</t>
  </si>
  <si>
    <t>70420050241*</t>
  </si>
  <si>
    <t>70420050213*</t>
  </si>
  <si>
    <t>70420050150*</t>
  </si>
  <si>
    <t>70420050058*</t>
  </si>
  <si>
    <t>70420050300*</t>
  </si>
  <si>
    <t>70420050194*</t>
  </si>
  <si>
    <t>70420050008*</t>
  </si>
  <si>
    <t>70420050210*</t>
  </si>
  <si>
    <t>70420050037*</t>
  </si>
  <si>
    <t>70420050305*</t>
  </si>
  <si>
    <t>A100384000010</t>
  </si>
  <si>
    <t xml:space="preserve"> Dzintaru ceļš</t>
  </si>
  <si>
    <t>70420060526*</t>
  </si>
  <si>
    <t>Nekustamā īpašuma nosaukums NĪVKIS tiks mainīts līdz 2028. gada 30.decembrim</t>
  </si>
  <si>
    <t>70420060001*</t>
  </si>
  <si>
    <t>70420060003*</t>
  </si>
  <si>
    <t>70420060094*</t>
  </si>
  <si>
    <t>70420060022*</t>
  </si>
  <si>
    <t>A100384000011</t>
  </si>
  <si>
    <t xml:space="preserve"> Bruņinieku ceļš</t>
  </si>
  <si>
    <t>A100384000012</t>
  </si>
  <si>
    <t>Nr.91; Sauleskalns- Poķi- Dzirnaviņas</t>
  </si>
  <si>
    <t>A100384000013</t>
  </si>
  <si>
    <t>Estrāde - Kaniņas</t>
  </si>
  <si>
    <t xml:space="preserve">70420060069* </t>
  </si>
  <si>
    <t>70420060011*</t>
  </si>
  <si>
    <t>A100384000014</t>
  </si>
  <si>
    <t>Nr.5; Kusa- Bites</t>
  </si>
  <si>
    <t>B100384000015</t>
  </si>
  <si>
    <t>Vītolu iela</t>
  </si>
  <si>
    <t>B100384000016</t>
  </si>
  <si>
    <t>Dārzu iela</t>
  </si>
  <si>
    <t>B100384000017</t>
  </si>
  <si>
    <t>Liepu iela</t>
  </si>
  <si>
    <t>B100384000018</t>
  </si>
  <si>
    <t>Nr.18; Linūži- Āriņi</t>
  </si>
  <si>
    <t>B100384000019</t>
  </si>
  <si>
    <t>Nr.65; Šķūri- Skāķi</t>
  </si>
  <si>
    <t>B100384000020</t>
  </si>
  <si>
    <t>Nr.19; Saulgoži- Kupri</t>
  </si>
  <si>
    <t>B100384000021</t>
  </si>
  <si>
    <t>Nr.16; Beitāni- Ozolkalns</t>
  </si>
  <si>
    <t>B100384000022</t>
  </si>
  <si>
    <t>Nr.15; Pumpuri- Beitāni</t>
  </si>
  <si>
    <t>B100384000023</t>
  </si>
  <si>
    <t xml:space="preserve"> Madona – Ērgļi uz Krievlejām ceļš</t>
  </si>
  <si>
    <t xml:space="preserve">70420010026*  </t>
  </si>
  <si>
    <t>70420010005*</t>
  </si>
  <si>
    <t>B100384000024</t>
  </si>
  <si>
    <t>Nr.64;Antiņēni līdz Viešupītei</t>
  </si>
  <si>
    <t>B100384000025</t>
  </si>
  <si>
    <t>Pumpi –Zārdukalns -Ambāti ceļš</t>
  </si>
  <si>
    <t>B100384000026</t>
  </si>
  <si>
    <t>Oļi - Stiebriņi</t>
  </si>
  <si>
    <t>B100384000027</t>
  </si>
  <si>
    <t>Nr.96; Kaijas- Zemgaļi- Burtnieki</t>
  </si>
  <si>
    <t>70420050010*</t>
  </si>
  <si>
    <t>B100384000028</t>
  </si>
  <si>
    <t xml:space="preserve">	Nr.97;Ziediņi- Bāliņi- Dobelnieki- Silvi</t>
  </si>
  <si>
    <t xml:space="preserve">70420050009*  </t>
  </si>
  <si>
    <t>B100384000029</t>
  </si>
  <si>
    <t>Nr.100; L-Kučuri- Vikšeni- Augstumi- Pag</t>
  </si>
  <si>
    <t>70420050015*</t>
  </si>
  <si>
    <t>70420050080*</t>
  </si>
  <si>
    <t>70420050082*</t>
  </si>
  <si>
    <t>B100384000030</t>
  </si>
  <si>
    <t>Viesienas pagastmāja - Augstumi</t>
  </si>
  <si>
    <t>B100384000031</t>
  </si>
  <si>
    <t>Nr.53; Teiļi- Trušļi</t>
  </si>
  <si>
    <t>70420060044*</t>
  </si>
  <si>
    <t>70420060059*</t>
  </si>
  <si>
    <t>70420060087*</t>
  </si>
  <si>
    <t>70420060088*</t>
  </si>
  <si>
    <t>70420060066*</t>
  </si>
  <si>
    <t>70420060060*</t>
  </si>
  <si>
    <t>70420060056*</t>
  </si>
  <si>
    <t>B100384000032</t>
  </si>
  <si>
    <t>Teiļi - Stalīdzēni  -Kusas pienotava</t>
  </si>
  <si>
    <t>B100384000033</t>
  </si>
  <si>
    <t>Nr.3; Kusas pienotava- Bērziņi-Egļukalns</t>
  </si>
  <si>
    <t>70420060429*</t>
  </si>
  <si>
    <t>B100384000034</t>
  </si>
  <si>
    <t>Nr.89;Zeduļi- Aizupji- Rāvlejas- Bērziņi</t>
  </si>
  <si>
    <t>B100384000035</t>
  </si>
  <si>
    <t>Indrāni-Rijnieki-Skraustiņi-Dēklaiņi</t>
  </si>
  <si>
    <t>B100384000036</t>
  </si>
  <si>
    <t>Nr.72; Trimpuļi- Sili- Straumēni- Zelgauska</t>
  </si>
  <si>
    <t>70420080026*</t>
  </si>
  <si>
    <t>0.00</t>
  </si>
  <si>
    <t>B100384000037</t>
  </si>
  <si>
    <t>Nr.76; Silnieki- Bukuri- Skrīverkalns</t>
  </si>
  <si>
    <t>B100384000038</t>
  </si>
  <si>
    <t>Nr.75; Zelgauska- Vizbuļi- Kaļvi</t>
  </si>
  <si>
    <t>B100384000039</t>
  </si>
  <si>
    <t>Nr.11; Zelgauska- Migļi</t>
  </si>
  <si>
    <t>B100384000040</t>
  </si>
  <si>
    <t>Nr.85; Ābeļi- Jēci- Ezermuiža</t>
  </si>
  <si>
    <t>B100384000041</t>
  </si>
  <si>
    <t>Nr.24; Līcieši- Ķeirenes- Kusa</t>
  </si>
  <si>
    <t>Aroniešu tilts</t>
  </si>
  <si>
    <t xml:space="preserve">x=627487.93 y=307496.39
</t>
  </si>
  <si>
    <t>dzelzbetons</t>
  </si>
  <si>
    <t xml:space="preserve">
70420080228</t>
  </si>
  <si>
    <t>B100384000042</t>
  </si>
  <si>
    <t>Nr.81; Kurtsalas - Lipiela</t>
  </si>
  <si>
    <t>B100384000043</t>
  </si>
  <si>
    <t>Birāni - Misēni</t>
  </si>
  <si>
    <t xml:space="preserve"> </t>
  </si>
  <si>
    <t>Birānu tilts</t>
  </si>
  <si>
    <t>x=630457.95 y=302079.58</t>
  </si>
  <si>
    <t>dzelbetons/metāls/koks</t>
  </si>
  <si>
    <t>B100384000044</t>
  </si>
  <si>
    <t>Nr.58; Ciskāni- Burtnieki- Jaunandrāni</t>
  </si>
  <si>
    <t xml:space="preserve">70420090013*  </t>
  </si>
  <si>
    <t>B100384000045</t>
  </si>
  <si>
    <t>Madona – Ērgļi līdz Mālniekiem</t>
  </si>
  <si>
    <t>B100384000046</t>
  </si>
  <si>
    <t>Nr.60; Kaļpi- Viduči</t>
  </si>
  <si>
    <t>B100384000047</t>
  </si>
  <si>
    <t>Nr.22; Lauteres darbnīcas - Skujieši</t>
  </si>
  <si>
    <t>B100384000048</t>
  </si>
  <si>
    <t>Nr.102; Jaunkaļvi -Stipri- Kučuri</t>
  </si>
  <si>
    <t>B100384000049</t>
  </si>
  <si>
    <t>Nr.3A; Kusa-Bērziņi</t>
  </si>
  <si>
    <t>B100384000050</t>
  </si>
  <si>
    <t>Nr.92; Poķi- Kārkli</t>
  </si>
  <si>
    <t>B100384000051</t>
  </si>
  <si>
    <t>Nr.32; Vecā pagastmāja- Birztalas</t>
  </si>
  <si>
    <t>70420060091*</t>
  </si>
  <si>
    <t>70420060198*</t>
  </si>
  <si>
    <t>70420030025*</t>
  </si>
  <si>
    <t>B100384000052</t>
  </si>
  <si>
    <t>Kusa-Bites uz Lazdukalnu</t>
  </si>
  <si>
    <t>C100384000053</t>
  </si>
  <si>
    <t>Nr.1; Ozolkalns- Līderes skola</t>
  </si>
  <si>
    <t>C100384000054</t>
  </si>
  <si>
    <t>Lejas Kupri-Jaunās</t>
  </si>
  <si>
    <t>C100384000055</t>
  </si>
  <si>
    <t>Nr.131; Dzintari- peldvieta</t>
  </si>
  <si>
    <t>C100384000056</t>
  </si>
  <si>
    <t>Nr.20; Lauteres darbn.- b.Līderes t.n.</t>
  </si>
  <si>
    <t>C100384000057</t>
  </si>
  <si>
    <t>Nr.94; Lode- Palejas- Satekas</t>
  </si>
  <si>
    <t>70420060057*</t>
  </si>
  <si>
    <t>C100384000058</t>
  </si>
  <si>
    <t xml:space="preserve">	Nr.83; Zelgauskas skolas pievadceļš</t>
  </si>
  <si>
    <t>C100384000059</t>
  </si>
  <si>
    <t>No ceļa Kusa – Cesvaine- Toliņi</t>
  </si>
  <si>
    <t>70680010001* - zemes vienības kadastra apzīmējums pašvaldības ceļam kā servitūtam</t>
  </si>
  <si>
    <t>70680010001 - zemes vienības kadastra apzīmējums</t>
  </si>
  <si>
    <t>70680010001001 - inženierbūves kadastra apzīmējums</t>
  </si>
  <si>
    <t>NĪVKIS - Nekustamā īpašuma valsts kadastra informācijas sistēmas</t>
  </si>
  <si>
    <t>Madonas novada pašvaldības Barkavas pagasta pašvaldības autoceļu un ielu saraksts</t>
  </si>
  <si>
    <t>Piezīmes</t>
  </si>
  <si>
    <r>
      <t>brauktuves laukums (m</t>
    </r>
    <r>
      <rPr>
        <vertAlign val="superscript"/>
        <sz val="10"/>
        <rFont val="Times New Roman"/>
        <family val="1"/>
        <charset val="186"/>
      </rPr>
      <t>2</t>
    </r>
    <r>
      <rPr>
        <sz val="10"/>
        <rFont val="Times New Roman"/>
        <family val="1"/>
        <charset val="186"/>
      </rPr>
      <t>)</t>
    </r>
  </si>
  <si>
    <r>
      <t>divlīmeņu nobrauktuves brauktuves laukums (m</t>
    </r>
    <r>
      <rPr>
        <vertAlign val="superscript"/>
        <sz val="10"/>
        <rFont val="Times New Roman"/>
        <family val="1"/>
        <charset val="186"/>
      </rPr>
      <t>2</t>
    </r>
    <r>
      <rPr>
        <sz val="10"/>
        <rFont val="Times New Roman"/>
        <family val="1"/>
        <charset val="186"/>
      </rPr>
      <t>)</t>
    </r>
  </si>
  <si>
    <t>konstrukcijas materiāls</t>
  </si>
  <si>
    <r>
      <t>laukums (m</t>
    </r>
    <r>
      <rPr>
        <vertAlign val="superscript"/>
        <sz val="10"/>
        <rFont val="Times New Roman"/>
        <family val="1"/>
        <charset val="186"/>
      </rPr>
      <t>2</t>
    </r>
    <r>
      <rPr>
        <sz val="10"/>
        <rFont val="Times New Roman"/>
        <family val="1"/>
        <charset val="186"/>
      </rPr>
      <t>)*</t>
    </r>
  </si>
  <si>
    <t>A100384100001</t>
  </si>
  <si>
    <t>Aiviekstes iela</t>
  </si>
  <si>
    <t>Stalīdzāni</t>
  </si>
  <si>
    <t>Inženierbūve nav reģistrēta sakarā ar nepietiekamiem līdzekļiem pašvaldības budžetā, tiks reģistrēta līdz 2034.gada 30. decembrim.</t>
  </si>
  <si>
    <t>A100384100002</t>
  </si>
  <si>
    <t>Kapu iela</t>
  </si>
  <si>
    <t xml:space="preserve">melnais </t>
  </si>
  <si>
    <t>Barkava</t>
  </si>
  <si>
    <t>A100384100003</t>
  </si>
  <si>
    <t>Lazdu iela</t>
  </si>
  <si>
    <t>A100384100004</t>
  </si>
  <si>
    <t>Svaru iela</t>
  </si>
  <si>
    <t>A100384100005</t>
  </si>
  <si>
    <t>A100384100006</t>
  </si>
  <si>
    <t>Jaunatnes iela</t>
  </si>
  <si>
    <t>A100384100007</t>
  </si>
  <si>
    <t xml:space="preserve"> Ozolu iela</t>
  </si>
  <si>
    <t>A100384100008</t>
  </si>
  <si>
    <t>Krasta iela</t>
  </si>
  <si>
    <t>A100384100009</t>
  </si>
  <si>
    <t xml:space="preserve"> Dzirnavu iela</t>
  </si>
  <si>
    <t>A100384100010</t>
  </si>
  <si>
    <t>A100384100011</t>
  </si>
  <si>
    <t>P84 - Dzirnavu  iela</t>
  </si>
  <si>
    <t>A100384100012</t>
  </si>
  <si>
    <t>Barkava-Bozēni-Jaudzemnieki</t>
  </si>
  <si>
    <t>B100384100013</t>
  </si>
  <si>
    <t>B100384100014</t>
  </si>
  <si>
    <t>Jaunā iela</t>
  </si>
  <si>
    <t>Nekustamā īpašuma nosaukums NĪVKIS tiks mainīts līdz 2028. gada 30. decembrim</t>
  </si>
  <si>
    <t>B100384100015</t>
  </si>
  <si>
    <t>Jaunās ielas un Kļavu ielas saimniecības ceļš</t>
  </si>
  <si>
    <t>B100384100016</t>
  </si>
  <si>
    <t>Kļavu iela</t>
  </si>
  <si>
    <t>B100384100017</t>
  </si>
  <si>
    <t>Parka iela</t>
  </si>
  <si>
    <t>70440080023* 70440080053*</t>
  </si>
  <si>
    <t>70440080053*</t>
  </si>
  <si>
    <t>B100384100018</t>
  </si>
  <si>
    <t>Avotu iela</t>
  </si>
  <si>
    <t>Inženierbūve nav reģistrēta sakarā ar nepietiekamiem līdzekļiem pašvaldības budžetā, tiks reģistrēta līdz 2033.gada 30. decembrim.</t>
  </si>
  <si>
    <t>B100384100019</t>
  </si>
  <si>
    <t>Ozolu ielas Pilskalna ielas saimniecības ceļš</t>
  </si>
  <si>
    <t>B100384100020</t>
  </si>
  <si>
    <t>Pilskalna iela</t>
  </si>
  <si>
    <t>B100384100021</t>
  </si>
  <si>
    <t>B100384100022</t>
  </si>
  <si>
    <t>Torņa iela-Pļavu ielas saimniecības ceļš</t>
  </si>
  <si>
    <t>B100384100023</t>
  </si>
  <si>
    <t>Kastaņu iela</t>
  </si>
  <si>
    <t>B100384100024</t>
  </si>
  <si>
    <t>Pļavu iela</t>
  </si>
  <si>
    <t>B100384100025</t>
  </si>
  <si>
    <t>Ceriņu iela</t>
  </si>
  <si>
    <t>B100384100026</t>
  </si>
  <si>
    <t>Svaru iela-Bozēnu ceļš</t>
  </si>
  <si>
    <t>B100384100027</t>
  </si>
  <si>
    <t>Mālnieki-Radzes-Bulmeisteri</t>
  </si>
  <si>
    <t>B100384100028</t>
  </si>
  <si>
    <t>Rosība-Kalna skola</t>
  </si>
  <si>
    <t>B100384100029</t>
  </si>
  <si>
    <t xml:space="preserve">Zaļmežnieki- Sumeinieki </t>
  </si>
  <si>
    <t>B100384100030</t>
  </si>
  <si>
    <t>Tīrumnieki-Pontona tilts</t>
  </si>
  <si>
    <t>70440010021*</t>
  </si>
  <si>
    <t>70440010002*</t>
  </si>
  <si>
    <t>B100384100031</t>
  </si>
  <si>
    <t>Stalidzāni-Lāčkalni</t>
  </si>
  <si>
    <t>B100384100032</t>
  </si>
  <si>
    <t>Madonas šoseja-Poļvarka</t>
  </si>
  <si>
    <t>B100384100033</t>
  </si>
  <si>
    <t>Muiža-Muiža</t>
  </si>
  <si>
    <t>C100384100034</t>
  </si>
  <si>
    <t>Osogols-Čērzenieki</t>
  </si>
  <si>
    <t>C100384100035</t>
  </si>
  <si>
    <t>Osogols-Bozēni</t>
  </si>
  <si>
    <t>C100384100036</t>
  </si>
  <si>
    <t>Tīrumnieki-Saikavas kapi</t>
  </si>
  <si>
    <t>C100384100037</t>
  </si>
  <si>
    <t>Veczeltiņi-Apsala</t>
  </si>
  <si>
    <t>C100384100038</t>
  </si>
  <si>
    <t>Saliņas-Skaldas</t>
  </si>
  <si>
    <t>C100384100039</t>
  </si>
  <si>
    <t>Madonas šoseja-Saukas purvs</t>
  </si>
  <si>
    <t>C100384100040</t>
  </si>
  <si>
    <t xml:space="preserve">Radžēļi-Pulcenes </t>
  </si>
  <si>
    <t>C100384100041</t>
  </si>
  <si>
    <t>Madonas šoseja-Lidlauks</t>
  </si>
  <si>
    <t>C100384100042</t>
  </si>
  <si>
    <t>Madonas šoseja-Autoserviss</t>
  </si>
  <si>
    <t>70440080288* 70440080299*</t>
  </si>
  <si>
    <t>C100384100043</t>
  </si>
  <si>
    <t xml:space="preserve">Bulmeisteri-Akmeņsala </t>
  </si>
  <si>
    <t>C100384100044</t>
  </si>
  <si>
    <t>Muiža-Lisiņa</t>
  </si>
  <si>
    <t>70440120054*</t>
  </si>
  <si>
    <t>70440120135*</t>
  </si>
  <si>
    <t>C100384100045</t>
  </si>
  <si>
    <t>Upīši-Vīnakalns</t>
  </si>
  <si>
    <t>tilts uz ceļa Upīši -Vīnakalns</t>
  </si>
  <si>
    <t>564545,275 262937,436</t>
  </si>
  <si>
    <t>dzelzsbetons</t>
  </si>
  <si>
    <t>C100384100046</t>
  </si>
  <si>
    <t>Skaldas-Purkājas</t>
  </si>
  <si>
    <t>C100384100047</t>
  </si>
  <si>
    <t>Jaudžērvenieki</t>
  </si>
  <si>
    <t>C100384100048</t>
  </si>
  <si>
    <t>Mālsala-Izgāztuve</t>
  </si>
  <si>
    <t>C100384100049</t>
  </si>
  <si>
    <t>Bulmeistari-Vecās darbnīcas</t>
  </si>
  <si>
    <t>C100384100050</t>
  </si>
  <si>
    <t>Bestenīca-Jaudzemnieki</t>
  </si>
  <si>
    <t>C100384100051</t>
  </si>
  <si>
    <t>Bozēni-Pilskalns</t>
  </si>
  <si>
    <t>C100384100052</t>
  </si>
  <si>
    <t>Īdeņu kanāls-Malmuta</t>
  </si>
  <si>
    <t>Tilts uz ceļa Īdeņas kanāls - Malmuta</t>
  </si>
  <si>
    <t>564250,266 264605,244</t>
  </si>
  <si>
    <t>dzelzsbetona</t>
  </si>
  <si>
    <t>C100384100053</t>
  </si>
  <si>
    <t>Muiža-Krējotava</t>
  </si>
  <si>
    <t>70440120025*</t>
  </si>
  <si>
    <t>70440120126*</t>
  </si>
  <si>
    <t>C100384100054</t>
  </si>
  <si>
    <t>Sumeinieki</t>
  </si>
  <si>
    <t>C100384100055</t>
  </si>
  <si>
    <t>Vilkupurvs-Radžēļi</t>
  </si>
  <si>
    <t>C100384100056</t>
  </si>
  <si>
    <t>Jāņakrusta ceļš</t>
  </si>
  <si>
    <t>Madonas novada pašvaldības Bērzaunes pagasta pašvaldības autoceļu un ielu saraksts</t>
  </si>
  <si>
    <t>Ceļa identifi­kators</t>
  </si>
  <si>
    <r>
      <t>brauktuves laukums (m</t>
    </r>
    <r>
      <rPr>
        <vertAlign val="super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>)</t>
    </r>
  </si>
  <si>
    <t>divlīmeņu nobrauktuves brauktuves laukums (m2)</t>
  </si>
  <si>
    <r>
      <t>laukums (m</t>
    </r>
    <r>
      <rPr>
        <vertAlign val="super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>)*</t>
    </r>
  </si>
  <si>
    <t>A100384200001</t>
  </si>
  <si>
    <t>Aronas iela</t>
  </si>
  <si>
    <t>Asfalts</t>
  </si>
  <si>
    <t>Sauleskalns</t>
  </si>
  <si>
    <t>A100384200002</t>
  </si>
  <si>
    <t>Nākotnes iela</t>
  </si>
  <si>
    <t>70460080203*</t>
  </si>
  <si>
    <t>Bērzaune</t>
  </si>
  <si>
    <t>70460080036*</t>
  </si>
  <si>
    <t>70460080220*</t>
  </si>
  <si>
    <t>70460080216*</t>
  </si>
  <si>
    <t>70460080218*</t>
  </si>
  <si>
    <t>70460080219*</t>
  </si>
  <si>
    <t>70460080038*</t>
  </si>
  <si>
    <t>A100384200003</t>
  </si>
  <si>
    <t>Dīķa iela</t>
  </si>
  <si>
    <t>70460090184*</t>
  </si>
  <si>
    <t>70460090209*</t>
  </si>
  <si>
    <t>70460090181*</t>
  </si>
  <si>
    <t>A100384200004</t>
  </si>
  <si>
    <t>Sauleskalna iela</t>
  </si>
  <si>
    <t>A100384200005</t>
  </si>
  <si>
    <t>Grants</t>
  </si>
  <si>
    <t>70460080192*</t>
  </si>
  <si>
    <t>70460080067*</t>
  </si>
  <si>
    <t>70460080183*</t>
  </si>
  <si>
    <t>A100384200006</t>
  </si>
  <si>
    <t>Kalna iela</t>
  </si>
  <si>
    <t>70460090034*</t>
  </si>
  <si>
    <t>70460090254*</t>
  </si>
  <si>
    <t>70460090008*</t>
  </si>
  <si>
    <t>70460090240*</t>
  </si>
  <si>
    <t>B100384200007</t>
  </si>
  <si>
    <t>Arkādijas iela</t>
  </si>
  <si>
    <t>70460080069*</t>
  </si>
  <si>
    <t>70460080079*</t>
  </si>
  <si>
    <t>70460080212*</t>
  </si>
  <si>
    <t>70460080210*</t>
  </si>
  <si>
    <t>B100384200008</t>
  </si>
  <si>
    <t>Kārļa iela</t>
  </si>
  <si>
    <t>70460090218*</t>
  </si>
  <si>
    <t>70460090219*</t>
  </si>
  <si>
    <t>B100384200009</t>
  </si>
  <si>
    <t>Mehanizatoru iela</t>
  </si>
  <si>
    <t>70460090293*</t>
  </si>
  <si>
    <t>70460090035*</t>
  </si>
  <si>
    <t>B100384200010</t>
  </si>
  <si>
    <t>70460090201*</t>
  </si>
  <si>
    <t>70460090242*</t>
  </si>
  <si>
    <t>70460090088*</t>
  </si>
  <si>
    <t>70460090199*</t>
  </si>
  <si>
    <t>70460090247*</t>
  </si>
  <si>
    <t>A100384200011</t>
  </si>
  <si>
    <t>Saules iela</t>
  </si>
  <si>
    <t>A100384200012</t>
  </si>
  <si>
    <t>Miglas iela</t>
  </si>
  <si>
    <t>A100384200013</t>
  </si>
  <si>
    <t>Pils iela</t>
  </si>
  <si>
    <t>A100384200014</t>
  </si>
  <si>
    <t>Lauku iela</t>
  </si>
  <si>
    <t>A100384200015</t>
  </si>
  <si>
    <t>Bērzaune-Migļi</t>
  </si>
  <si>
    <t>A100384200016</t>
  </si>
  <si>
    <t>Grostona- Melderes</t>
  </si>
  <si>
    <t>A100384200017</t>
  </si>
  <si>
    <t>Līčupes- Vizuļi</t>
  </si>
  <si>
    <t>A100384200018</t>
  </si>
  <si>
    <t>Migļi- Zelgauska</t>
  </si>
  <si>
    <t>70460010004*</t>
  </si>
  <si>
    <t>70460010097*</t>
  </si>
  <si>
    <t>A100384200019</t>
  </si>
  <si>
    <t>Muižnieki- Sauleskalns</t>
  </si>
  <si>
    <t>A100384200020</t>
  </si>
  <si>
    <t>Skaļbi- Gaiziņkalns</t>
  </si>
  <si>
    <t>70460010039*</t>
  </si>
  <si>
    <t>A100384200021</t>
  </si>
  <si>
    <t>Staldēni- Grīvi- Anduļi</t>
  </si>
  <si>
    <t>70460020022*</t>
  </si>
  <si>
    <t>70460020049*</t>
  </si>
  <si>
    <t>70460020110*</t>
  </si>
  <si>
    <t>70460020101*</t>
  </si>
  <si>
    <t>A100384200022</t>
  </si>
  <si>
    <t>Bērzaune - Viesūnēni - Zīdiņi</t>
  </si>
  <si>
    <t>A100384200023</t>
  </si>
  <si>
    <t>Migļi -Vālēni</t>
  </si>
  <si>
    <t>A100384200024</t>
  </si>
  <si>
    <t>Meiteņkalns - Kalnamuiža</t>
  </si>
  <si>
    <t>A100384200025</t>
  </si>
  <si>
    <t>Kantoris- Dzirnaviņas</t>
  </si>
  <si>
    <t>A100384200026</t>
  </si>
  <si>
    <t>Avotiņi- Purvmalas-Ozoli</t>
  </si>
  <si>
    <t>70460090194*</t>
  </si>
  <si>
    <t>70460090024*</t>
  </si>
  <si>
    <t>70460090122*</t>
  </si>
  <si>
    <t>70460090124*</t>
  </si>
  <si>
    <t>70460090092*</t>
  </si>
  <si>
    <t>70460090113*</t>
  </si>
  <si>
    <t>70460080008*</t>
  </si>
  <si>
    <t>70460080042*</t>
  </si>
  <si>
    <t>70460080020*</t>
  </si>
  <si>
    <t>70460080145*</t>
  </si>
  <si>
    <t>70460080143*</t>
  </si>
  <si>
    <t>A100384200027</t>
  </si>
  <si>
    <t>Melderes- Skrīverkalns</t>
  </si>
  <si>
    <t>B100384200028</t>
  </si>
  <si>
    <t>Staldēni - Dravēni</t>
  </si>
  <si>
    <t>70460020063*</t>
  </si>
  <si>
    <t>70460020161*</t>
  </si>
  <si>
    <t>70460020160*</t>
  </si>
  <si>
    <t>70460020060*</t>
  </si>
  <si>
    <t>70460020005*</t>
  </si>
  <si>
    <t>70460020057*</t>
  </si>
  <si>
    <t>70460020059*</t>
  </si>
  <si>
    <t>70960080013*</t>
  </si>
  <si>
    <t>B100384200029</t>
  </si>
  <si>
    <t>Vizuļi- Krēmera dzirnavas</t>
  </si>
  <si>
    <t>70460080399*</t>
  </si>
  <si>
    <t>X=295768.05 Y=625126.23</t>
  </si>
  <si>
    <t>Dzelzbetons</t>
  </si>
  <si>
    <t>70460080121*</t>
  </si>
  <si>
    <t>70460080056*</t>
  </si>
  <si>
    <t>B100384200030</t>
  </si>
  <si>
    <t>Dzērves- Ramuļēni</t>
  </si>
  <si>
    <t>70460070092*</t>
  </si>
  <si>
    <t>70460060010*</t>
  </si>
  <si>
    <t>70460060008*</t>
  </si>
  <si>
    <t>B100384200031</t>
  </si>
  <si>
    <t>Krustiņi- Ratnieki</t>
  </si>
  <si>
    <t>70460030015*</t>
  </si>
  <si>
    <t>70460030060*</t>
  </si>
  <si>
    <t>70460030061*</t>
  </si>
  <si>
    <t>70460030066*</t>
  </si>
  <si>
    <t>70460030013*</t>
  </si>
  <si>
    <t>70460030009*</t>
  </si>
  <si>
    <t>70460030055*</t>
  </si>
  <si>
    <t>B100384200032</t>
  </si>
  <si>
    <t>Mazkalniņi- Žeberi</t>
  </si>
  <si>
    <t>70460080074*</t>
  </si>
  <si>
    <t>70460080026*</t>
  </si>
  <si>
    <t>70460080131*</t>
  </si>
  <si>
    <t>70460080132*</t>
  </si>
  <si>
    <t>B100384200033</t>
  </si>
  <si>
    <t xml:space="preserve">Muižnieki- Dambri </t>
  </si>
  <si>
    <t>70460090072*</t>
  </si>
  <si>
    <t>B100384200034</t>
  </si>
  <si>
    <t>Ozoliņi- Dambri</t>
  </si>
  <si>
    <t>70460080059*</t>
  </si>
  <si>
    <t>70460080006*</t>
  </si>
  <si>
    <t>B100384200035</t>
  </si>
  <si>
    <t>Tomēni- Gureļi</t>
  </si>
  <si>
    <t>70460010019*</t>
  </si>
  <si>
    <t>70460010091*</t>
  </si>
  <si>
    <t>70460010099*</t>
  </si>
  <si>
    <t>70460010102*</t>
  </si>
  <si>
    <t>B100384200036</t>
  </si>
  <si>
    <t>Dzirnaviņas- Lejnieki</t>
  </si>
  <si>
    <t>70460080015*</t>
  </si>
  <si>
    <t>70460080091*</t>
  </si>
  <si>
    <t>70460080092*</t>
  </si>
  <si>
    <t>70460080075*</t>
  </si>
  <si>
    <t>70460080005*</t>
  </si>
  <si>
    <t>B100384200037</t>
  </si>
  <si>
    <t>Ozolkrogs- Kalna Bindēni</t>
  </si>
  <si>
    <t>70460080255*</t>
  </si>
  <si>
    <t>70460080256*</t>
  </si>
  <si>
    <t>70460080047*</t>
  </si>
  <si>
    <t>70460080258*</t>
  </si>
  <si>
    <t>70460080263*</t>
  </si>
  <si>
    <t>B100384200038</t>
  </si>
  <si>
    <t>Aptekas - Susurēni</t>
  </si>
  <si>
    <t>70460070009*</t>
  </si>
  <si>
    <t>70460070088*</t>
  </si>
  <si>
    <t>70460070089*</t>
  </si>
  <si>
    <t>70460070043*</t>
  </si>
  <si>
    <t>70460070044*</t>
  </si>
  <si>
    <t>70460060001*</t>
  </si>
  <si>
    <t>70460060033*</t>
  </si>
  <si>
    <t>70460060039*</t>
  </si>
  <si>
    <t>70460060006*</t>
  </si>
  <si>
    <t>B100384200039</t>
  </si>
  <si>
    <t>Brencēni- Krustiņi</t>
  </si>
  <si>
    <t>B100384200040</t>
  </si>
  <si>
    <t>Iedzēni- Jānīši</t>
  </si>
  <si>
    <t>70460040094*</t>
  </si>
  <si>
    <t>70460040001*</t>
  </si>
  <si>
    <t>70460040078*</t>
  </si>
  <si>
    <t>70460040002*</t>
  </si>
  <si>
    <t>B100384200041</t>
  </si>
  <si>
    <t>Irbītes- Avotlejas</t>
  </si>
  <si>
    <t>70460080138*</t>
  </si>
  <si>
    <t>B100384200042</t>
  </si>
  <si>
    <t>Brutēni- Tālie Brutēni</t>
  </si>
  <si>
    <t>70460050061*</t>
  </si>
  <si>
    <t>70460050009*</t>
  </si>
  <si>
    <t>C100384200043</t>
  </si>
  <si>
    <t>Katēni- Gaidumi</t>
  </si>
  <si>
    <t>70460040031*</t>
  </si>
  <si>
    <t>70460040029*</t>
  </si>
  <si>
    <t>70460040027*</t>
  </si>
  <si>
    <t>C100384200044</t>
  </si>
  <si>
    <t>Baidiņi- Rubeņi</t>
  </si>
  <si>
    <t>70460070013*</t>
  </si>
  <si>
    <t>70460070057*</t>
  </si>
  <si>
    <t>70460070026*</t>
  </si>
  <si>
    <t>70460070061*</t>
  </si>
  <si>
    <t>C100384200045</t>
  </si>
  <si>
    <t>Geidāni</t>
  </si>
  <si>
    <t>70460010084*</t>
  </si>
  <si>
    <t>70460010034*</t>
  </si>
  <si>
    <t>70460010025*</t>
  </si>
  <si>
    <t>C100384200046</t>
  </si>
  <si>
    <t>Grostona- Silakalni</t>
  </si>
  <si>
    <t>C100384200047</t>
  </si>
  <si>
    <t>Iedzēni- Randoti</t>
  </si>
  <si>
    <t>70460040106*</t>
  </si>
  <si>
    <t>70460040014*</t>
  </si>
  <si>
    <t>70460040085*</t>
  </si>
  <si>
    <t>70460040087*</t>
  </si>
  <si>
    <t>70460040086*</t>
  </si>
  <si>
    <t>70460040077*</t>
  </si>
  <si>
    <t>70460040073*</t>
  </si>
  <si>
    <t>C100384200048</t>
  </si>
  <si>
    <t>Latvāņi- Stikliņi</t>
  </si>
  <si>
    <t>70460010075*</t>
  </si>
  <si>
    <t>70460010045*</t>
  </si>
  <si>
    <t>70460010119*</t>
  </si>
  <si>
    <t>70460010072*</t>
  </si>
  <si>
    <t>70460010071*</t>
  </si>
  <si>
    <t>C100384200049</t>
  </si>
  <si>
    <t>Vāverkalns</t>
  </si>
  <si>
    <t>C100384200050</t>
  </si>
  <si>
    <t>Aptekas- Vēžnieki</t>
  </si>
  <si>
    <t>70460060007*</t>
  </si>
  <si>
    <t>70460060005*</t>
  </si>
  <si>
    <t>70460060043*</t>
  </si>
  <si>
    <t>70460060031*</t>
  </si>
  <si>
    <t>70460060049*</t>
  </si>
  <si>
    <t>70460060034*</t>
  </si>
  <si>
    <t>C100384200051</t>
  </si>
  <si>
    <t>Caunes- Litienas</t>
  </si>
  <si>
    <t>70460070054*</t>
  </si>
  <si>
    <t>70460070052*</t>
  </si>
  <si>
    <t>C100384200052</t>
  </si>
  <si>
    <t>Eži</t>
  </si>
  <si>
    <t>70460020011*</t>
  </si>
  <si>
    <t>70460010069*</t>
  </si>
  <si>
    <t>70460010106*</t>
  </si>
  <si>
    <t>C100384200053</t>
  </si>
  <si>
    <t>Sauleskalns - Celtnes</t>
  </si>
  <si>
    <t>Madonas novada Cesvaines apvienības pārvaldes ceļu un ielu saraksts</t>
  </si>
  <si>
    <t>A100384300001</t>
  </si>
  <si>
    <t>Graši - Kārzdaba</t>
  </si>
  <si>
    <t>70270090128   70270040015*   70270040093  70270040015*   70270080157</t>
  </si>
  <si>
    <t>B100384300002</t>
  </si>
  <si>
    <t>Priednieki-Mežjukāni-Lejas Spārviņi</t>
  </si>
  <si>
    <t>70270070064 70270070010* 70270070035* 70270070011* 70270070085 70270070090* 70270070080</t>
  </si>
  <si>
    <t>B100384300003</t>
  </si>
  <si>
    <t>Biemelšu ceļš</t>
  </si>
  <si>
    <t>70270030106* 70270030075*</t>
  </si>
  <si>
    <t>B100384300004</t>
  </si>
  <si>
    <t>Osviju ceļš</t>
  </si>
  <si>
    <t xml:space="preserve"> grants</t>
  </si>
  <si>
    <t>70270020042* 70270020141</t>
  </si>
  <si>
    <t>B100384300005</t>
  </si>
  <si>
    <t>Alitānu ceļš</t>
  </si>
  <si>
    <t xml:space="preserve">70270010066    70270010048   </t>
  </si>
  <si>
    <t>B100384300006</t>
  </si>
  <si>
    <t>Grāveru ceļš</t>
  </si>
  <si>
    <t>70270010012*</t>
  </si>
  <si>
    <t>B100384300007</t>
  </si>
  <si>
    <t>Mentes - Virdzes</t>
  </si>
  <si>
    <t>B100384300008</t>
  </si>
  <si>
    <t>Mentes - Konstantīni</t>
  </si>
  <si>
    <t>70270010021*  70270010002*</t>
  </si>
  <si>
    <t>B100384300009</t>
  </si>
  <si>
    <t>Mentes - Purmales</t>
  </si>
  <si>
    <t>70270010021*  70270010015*</t>
  </si>
  <si>
    <t>B100384300010</t>
  </si>
  <si>
    <t>Kārkli- Bromulti</t>
  </si>
  <si>
    <t>70270020116 70270020070*</t>
  </si>
  <si>
    <t>B100384300011</t>
  </si>
  <si>
    <t>Kārkli - Pāpeni</t>
  </si>
  <si>
    <t>70270020126*  70270020116</t>
  </si>
  <si>
    <t>B100384300012</t>
  </si>
  <si>
    <t>Liepkalnu ceļš</t>
  </si>
  <si>
    <t>70270100074 70270100025* 70270100001*</t>
  </si>
  <si>
    <t>B100384300013</t>
  </si>
  <si>
    <t>Aroniešu ceļš</t>
  </si>
  <si>
    <t>70270100045* 70270100064* 70270100076</t>
  </si>
  <si>
    <t>B100384300014</t>
  </si>
  <si>
    <t>Segliņu ceļš</t>
  </si>
  <si>
    <t>70270060119*  70270060117* 70270060115*</t>
  </si>
  <si>
    <t>B100384300015</t>
  </si>
  <si>
    <t>Kraukļi - Upes Pērles</t>
  </si>
  <si>
    <t>70270060260   70270060348 70270060036* 70270060106*</t>
  </si>
  <si>
    <t>B100384300016</t>
  </si>
  <si>
    <t>Kraukļi - Boķi</t>
  </si>
  <si>
    <t>70270060242 70270060010* 70270060004*</t>
  </si>
  <si>
    <t>B100384300017</t>
  </si>
  <si>
    <t>Pakalniešu ceļš</t>
  </si>
  <si>
    <t xml:space="preserve"> asfalts</t>
  </si>
  <si>
    <t>70270100038* 70270100032*</t>
  </si>
  <si>
    <t>B100384300018</t>
  </si>
  <si>
    <t>Stradu ceļš</t>
  </si>
  <si>
    <t>70270100037* 70270100026* 70270100101*</t>
  </si>
  <si>
    <t>B100384300019</t>
  </si>
  <si>
    <t>Ūbāni - Slēdenes</t>
  </si>
  <si>
    <t>70270140106 70270140045* 70270140096*</t>
  </si>
  <si>
    <t>B100384300020</t>
  </si>
  <si>
    <t>Ruņģu ceļš</t>
  </si>
  <si>
    <t>70270140059* 70270140024* 70270140031*</t>
  </si>
  <si>
    <t>B100384300021</t>
  </si>
  <si>
    <t>Grāvruņģu ceļš</t>
  </si>
  <si>
    <t>70270140127* 70270140036*</t>
  </si>
  <si>
    <t>B100384300022</t>
  </si>
  <si>
    <t>Ūbāni - Mežarasas</t>
  </si>
  <si>
    <t>70270140114 70270140012* 70270140110* 70270140016*</t>
  </si>
  <si>
    <t>B100384300023</t>
  </si>
  <si>
    <t>Kronīšu ceļš</t>
  </si>
  <si>
    <t>70270140020* 70070040002* 70270140040* 70270140063*</t>
  </si>
  <si>
    <t>B100384300024</t>
  </si>
  <si>
    <t>Gundegas - Saulītes</t>
  </si>
  <si>
    <t>B100384300025</t>
  </si>
  <si>
    <t>Spieķu ceļš</t>
  </si>
  <si>
    <t>70270130059*  70270130018*</t>
  </si>
  <si>
    <t>B100384300026</t>
  </si>
  <si>
    <t>Jurgucu ceļš</t>
  </si>
  <si>
    <t>70270130060* 70270130066*</t>
  </si>
  <si>
    <t>B100384300027</t>
  </si>
  <si>
    <t>Miķelēnu ceļš</t>
  </si>
  <si>
    <t>70270130013* 70270130082 70270130022*  70270090169*</t>
  </si>
  <si>
    <t>B100384300028</t>
  </si>
  <si>
    <t>Pakuļi - Kalna Pakuļi</t>
  </si>
  <si>
    <t>70270090034* 70270090103* 70270090104*</t>
  </si>
  <si>
    <t>B100384300029</t>
  </si>
  <si>
    <t>Kangaru ceļš</t>
  </si>
  <si>
    <t>70270090108* 70270090148*</t>
  </si>
  <si>
    <t>B100384300030</t>
  </si>
  <si>
    <t>Spruktu ceļš</t>
  </si>
  <si>
    <t>70270090087* 70270090077*</t>
  </si>
  <si>
    <t>B100384300031</t>
  </si>
  <si>
    <t>Puteņu ceļš</t>
  </si>
  <si>
    <t>70270040107 70270040013* 70270040028*</t>
  </si>
  <si>
    <t>B100384300032</t>
  </si>
  <si>
    <t>Kalna Ķepastu ceļš</t>
  </si>
  <si>
    <t>70270080032* 70270080106*</t>
  </si>
  <si>
    <t>B100384300033</t>
  </si>
  <si>
    <t>Bērziņu ceļš</t>
  </si>
  <si>
    <t>70270080092*  70270080063*</t>
  </si>
  <si>
    <t>B100384300034</t>
  </si>
  <si>
    <t>Stradukalna kapsētas ceļš</t>
  </si>
  <si>
    <t>70270080204*    70270080196</t>
  </si>
  <si>
    <t>B100384300035</t>
  </si>
  <si>
    <t>Liekuma ceļš</t>
  </si>
  <si>
    <t>Nekustamā īpašuma nosaukums NĪVKI tiks mainīts līdz 2028. gada 30.decembrim</t>
  </si>
  <si>
    <t>B100384300036</t>
  </si>
  <si>
    <t xml:space="preserve">Dalderi - Gailēni </t>
  </si>
  <si>
    <t>B100384300037</t>
  </si>
  <si>
    <t>Kujsviķi - Gremukalns</t>
  </si>
  <si>
    <t>70270060053* 70270060134*</t>
  </si>
  <si>
    <t>B100384300038</t>
  </si>
  <si>
    <t>Ceļš uz bebru tiltiem</t>
  </si>
  <si>
    <t>tilts</t>
  </si>
  <si>
    <t>X   Y</t>
  </si>
  <si>
    <t>Dzelzbetona plātnes</t>
  </si>
  <si>
    <t>B100384300039</t>
  </si>
  <si>
    <t>Jokums-Tirzas upe</t>
  </si>
  <si>
    <t>70270070061   70270030081</t>
  </si>
  <si>
    <t>B100384300040</t>
  </si>
  <si>
    <t>Aizsila loks</t>
  </si>
  <si>
    <t>70270070062    70270030082</t>
  </si>
  <si>
    <t>B100384300041</t>
  </si>
  <si>
    <t>Tirzbanurti - Kārkli</t>
  </si>
  <si>
    <t>70270020093*  70270020040* 70270020113</t>
  </si>
  <si>
    <t>B100384300042</t>
  </si>
  <si>
    <t>Kraukļi-Valdesmuiža</t>
  </si>
  <si>
    <t>B100384300043</t>
  </si>
  <si>
    <t>Šņores ceļš</t>
  </si>
  <si>
    <t xml:space="preserve">70270060237   70270060339  70270060264  </t>
  </si>
  <si>
    <t>B100384300044</t>
  </si>
  <si>
    <t>Kraukļi-Ķinderu kapi</t>
  </si>
  <si>
    <t>x=319504  y=641341</t>
  </si>
  <si>
    <t>70270060239 70270060073* 70270110037  70270100001*</t>
  </si>
  <si>
    <t>B100384300045</t>
  </si>
  <si>
    <t>Šņores ceļš - Puntūzis</t>
  </si>
  <si>
    <t>x=318481 y=644521</t>
  </si>
  <si>
    <t>70270060238  70270110042   70270110036</t>
  </si>
  <si>
    <t>B100384300046</t>
  </si>
  <si>
    <t>Apvedceļš - Cesvaine</t>
  </si>
  <si>
    <t>70270100075  70270100086</t>
  </si>
  <si>
    <t>B100384300047</t>
  </si>
  <si>
    <t>Ūbāni - Priedītes</t>
  </si>
  <si>
    <t>70270140003* 70270140080 70270140014*</t>
  </si>
  <si>
    <t>B100384300048</t>
  </si>
  <si>
    <t>Stacija - Aizkujas ceļš</t>
  </si>
  <si>
    <t>70070030039  70270150116* 70270150083</t>
  </si>
  <si>
    <t>B100384300049</t>
  </si>
  <si>
    <t>Dreikas - Čonkas</t>
  </si>
  <si>
    <t xml:space="preserve">asfalts </t>
  </si>
  <si>
    <t xml:space="preserve">x=315918 y=643871  </t>
  </si>
  <si>
    <t>x=315841 y=644298</t>
  </si>
  <si>
    <t>B100384300050</t>
  </si>
  <si>
    <t>Kraukļu pievedceļš</t>
  </si>
  <si>
    <t>70270060262   70270060263</t>
  </si>
  <si>
    <t>B100384300051</t>
  </si>
  <si>
    <t>Lejas Putniņi-Kārkli</t>
  </si>
  <si>
    <t>x=324721  y=636152</t>
  </si>
  <si>
    <t>dzelzbetona plātnes</t>
  </si>
  <si>
    <t>70270040088    70270020117</t>
  </si>
  <si>
    <t>B100384300052</t>
  </si>
  <si>
    <t>Pavāri -Kārzdabas ceļš</t>
  </si>
  <si>
    <t>70270130080    70270130013*  70270090120  70270090054*   70270090041* 70270090048*</t>
  </si>
  <si>
    <t>B100384300053</t>
  </si>
  <si>
    <t>Graši - Kārzdabas ceļš</t>
  </si>
  <si>
    <t>B100384300054</t>
  </si>
  <si>
    <t>Kārzdaba - Zosēni</t>
  </si>
  <si>
    <t>70270080159   70270080179*</t>
  </si>
  <si>
    <t>B100384300055</t>
  </si>
  <si>
    <t>Ķinderes-Āriņas</t>
  </si>
  <si>
    <t>x=318481 y=644565</t>
  </si>
  <si>
    <t>ķieģeļu loks</t>
  </si>
  <si>
    <t>C100384300056</t>
  </si>
  <si>
    <t>Mūrēnu ceļš</t>
  </si>
  <si>
    <t>70270130063* 70270130043*</t>
  </si>
  <si>
    <t>C100384300057</t>
  </si>
  <si>
    <t>Sili - Čonkas</t>
  </si>
  <si>
    <t xml:space="preserve">70270150082         70270150121     70270150103    70270150042*    70270150104            </t>
  </si>
  <si>
    <t>C100384300058</t>
  </si>
  <si>
    <t>Doreņi - Svinci</t>
  </si>
  <si>
    <t>70270080193        70270080089* 70270080214 70270080071*</t>
  </si>
  <si>
    <t>C100384300059</t>
  </si>
  <si>
    <t>Kārzdaba - Lapukrogs</t>
  </si>
  <si>
    <t>70270080158   70270080192   70270080021* 70270120052 70270120001*   70270120058   70270120012*  70270120064</t>
  </si>
  <si>
    <t>C100384300060</t>
  </si>
  <si>
    <t>Noru ceļš</t>
  </si>
  <si>
    <t>70270060290* 70270060111*</t>
  </si>
  <si>
    <t>C100384300061</t>
  </si>
  <si>
    <t>Nabagmāja(Baznīcas iela)-Apvedceļš</t>
  </si>
  <si>
    <t>70270100036* 70270100031*</t>
  </si>
  <si>
    <t>C100384300062</t>
  </si>
  <si>
    <t>Rakuti - Jaunozoli</t>
  </si>
  <si>
    <t xml:space="preserve"> 70270050005    70270050034</t>
  </si>
  <si>
    <t>bez seguma</t>
  </si>
  <si>
    <t>C100384300063</t>
  </si>
  <si>
    <t>Skrules -Aivas</t>
  </si>
  <si>
    <t>C100384300064</t>
  </si>
  <si>
    <t>Jokums-Zamuri-Cērteles</t>
  </si>
  <si>
    <t xml:space="preserve"> 70270060268    70270060002* 70270060267  70270060083*  70270060288    70270060271*  70270060164*   70270060266   70270060197  </t>
  </si>
  <si>
    <t>C100384300065</t>
  </si>
  <si>
    <t>Jokums- Daukstes</t>
  </si>
  <si>
    <t>70270060009* 70270070070  70270060198</t>
  </si>
  <si>
    <t>C100384300066</t>
  </si>
  <si>
    <t>Vairogi - Kočkares</t>
  </si>
  <si>
    <t>x=320993  y=638874</t>
  </si>
  <si>
    <t>70270060202  70270090144</t>
  </si>
  <si>
    <t>C100384300067</t>
  </si>
  <si>
    <t>Ūbāni - Ģigurti</t>
  </si>
  <si>
    <t>70270140012*</t>
  </si>
  <si>
    <t>C100384300068</t>
  </si>
  <si>
    <t>Lapukrogs -Spieķi</t>
  </si>
  <si>
    <t>70270120053  70270130097</t>
  </si>
  <si>
    <t>C100384300069</t>
  </si>
  <si>
    <t>Dzeņi - Spieķi</t>
  </si>
  <si>
    <t>70270130094    70270130077</t>
  </si>
  <si>
    <t>C100384300070</t>
  </si>
  <si>
    <t>Kalnakrogs-Lejas Putniņi</t>
  </si>
  <si>
    <t>70270040098  70270040099</t>
  </si>
  <si>
    <t>C100384300071</t>
  </si>
  <si>
    <t>Kārzdaba - Dalderi</t>
  </si>
  <si>
    <t>70270040016*</t>
  </si>
  <si>
    <t>70270080162   70270040089</t>
  </si>
  <si>
    <t>C100384300072</t>
  </si>
  <si>
    <t>Dreikas - Āreskrieviņi</t>
  </si>
  <si>
    <t>x=316172 y=642916</t>
  </si>
  <si>
    <t>C100384300073</t>
  </si>
  <si>
    <t>Jukānu ceļš</t>
  </si>
  <si>
    <t>C100384300074</t>
  </si>
  <si>
    <t>Purmaļi-Aizsila ceļš</t>
  </si>
  <si>
    <t>70270070081  70270070063</t>
  </si>
  <si>
    <t>C100384300075</t>
  </si>
  <si>
    <t>Baltiņi- Kripi- Šeri</t>
  </si>
  <si>
    <t>70270020025*</t>
  </si>
  <si>
    <t>C100384300076</t>
  </si>
  <si>
    <t>Liepas - Valdesmuiža</t>
  </si>
  <si>
    <t>C100384300077</t>
  </si>
  <si>
    <t>Ķinderes - Līcupi</t>
  </si>
  <si>
    <t>70270110002* 70270110045</t>
  </si>
  <si>
    <t>C100384300078</t>
  </si>
  <si>
    <t>Berlīne - Lejas Auguļi</t>
  </si>
  <si>
    <t>C100384300079</t>
  </si>
  <si>
    <t>Kraukļi - Silenieki</t>
  </si>
  <si>
    <t>70270060070*</t>
  </si>
  <si>
    <t>C100384300080</t>
  </si>
  <si>
    <t>Kraukļi - Aizupieši</t>
  </si>
  <si>
    <t>C100384300081</t>
  </si>
  <si>
    <t>Lielķikuti - Kalna Rudzīši</t>
  </si>
  <si>
    <t>70270150034*</t>
  </si>
  <si>
    <t>C100384300082</t>
  </si>
  <si>
    <t>Cesvaine - Ģigurti</t>
  </si>
  <si>
    <t>70270140065*</t>
  </si>
  <si>
    <t>70270140102*</t>
  </si>
  <si>
    <t>70270140068*</t>
  </si>
  <si>
    <t>C100384300083</t>
  </si>
  <si>
    <t>Priecumi - Baltiņi</t>
  </si>
  <si>
    <t>70270120039    70270120051</t>
  </si>
  <si>
    <t>C100384300084</t>
  </si>
  <si>
    <t>Spieķi - Baltiņi</t>
  </si>
  <si>
    <t>C100384300085</t>
  </si>
  <si>
    <t>Pavāri - Usnes</t>
  </si>
  <si>
    <t>x=314405  y=638925</t>
  </si>
  <si>
    <t>akmens mūra loks</t>
  </si>
  <si>
    <t>70270130079  70270140084  70270130017*  70270140112</t>
  </si>
  <si>
    <t>C100384300086</t>
  </si>
  <si>
    <t>70270120001*</t>
  </si>
  <si>
    <t>70270080158    70270120052</t>
  </si>
  <si>
    <t>C100384300087</t>
  </si>
  <si>
    <t>Graši - Kraukļu ceļš</t>
  </si>
  <si>
    <t>C100384300088</t>
  </si>
  <si>
    <t>Kočkares - Lejieši</t>
  </si>
  <si>
    <t>70270090177*</t>
  </si>
  <si>
    <t>C100384300089</t>
  </si>
  <si>
    <t>Kočkares - Greķi</t>
  </si>
  <si>
    <t>70270090002*</t>
  </si>
  <si>
    <t>C100384300090</t>
  </si>
  <si>
    <t>Cērpi -Rēzēni</t>
  </si>
  <si>
    <t>70270080061*</t>
  </si>
  <si>
    <t>C100384300091</t>
  </si>
  <si>
    <t>Krāču ceļš</t>
  </si>
  <si>
    <t>70270010009*</t>
  </si>
  <si>
    <t>C100384300092</t>
  </si>
  <si>
    <t>Kārkli - Palži</t>
  </si>
  <si>
    <t>C100384300093</t>
  </si>
  <si>
    <t>Valdesmuiža - Dzeņukalns</t>
  </si>
  <si>
    <t>70270060029*</t>
  </si>
  <si>
    <t>C100384300094</t>
  </si>
  <si>
    <t>Teņču ceļš</t>
  </si>
  <si>
    <t>70270080100*</t>
  </si>
  <si>
    <t>70270080189  70270150136*</t>
  </si>
  <si>
    <t>C100384300095</t>
  </si>
  <si>
    <t>Ceļš uz Smilškalniem</t>
  </si>
  <si>
    <t>Madonas novada pašvaldības Cesvaines pilsētas ielu saraksts</t>
  </si>
  <si>
    <t>Papildus piezīmes</t>
  </si>
  <si>
    <t>D100382000001</t>
  </si>
  <si>
    <t>Alberta Vītola iela</t>
  </si>
  <si>
    <t>Cesvaine</t>
  </si>
  <si>
    <t>D100382000002</t>
  </si>
  <si>
    <t>Amatnieku iela</t>
  </si>
  <si>
    <t>D100382000003</t>
  </si>
  <si>
    <t>Apbraucamais ceļš 3</t>
  </si>
  <si>
    <t>D100382000004</t>
  </si>
  <si>
    <t>Apbraucamais ceļš 2</t>
  </si>
  <si>
    <t>D100382000005</t>
  </si>
  <si>
    <t>Mucenieku iela</t>
  </si>
  <si>
    <t>D100382000006</t>
  </si>
  <si>
    <t>Augusta Saulieša iela</t>
  </si>
  <si>
    <t>D100382000007</t>
  </si>
  <si>
    <t>Ābeļu iela</t>
  </si>
  <si>
    <t>D100382000008</t>
  </si>
  <si>
    <t>Baznīcas iela</t>
  </si>
  <si>
    <t>D100382000009</t>
  </si>
  <si>
    <t>D100382000010</t>
  </si>
  <si>
    <t>Brīvības iela</t>
  </si>
  <si>
    <t>D100382000011</t>
  </si>
  <si>
    <t>Celtnieku iela</t>
  </si>
  <si>
    <t>D100382000012</t>
  </si>
  <si>
    <t>D100382000013</t>
  </si>
  <si>
    <t>Estrādes iela</t>
  </si>
  <si>
    <t>D100382000014</t>
  </si>
  <si>
    <t>Gravas iela</t>
  </si>
  <si>
    <t>D100382000015</t>
  </si>
  <si>
    <t>D100382000016</t>
  </si>
  <si>
    <t>70070010068*</t>
  </si>
  <si>
    <t>D100382000017</t>
  </si>
  <si>
    <t>D100382000018</t>
  </si>
  <si>
    <t>D100382000019</t>
  </si>
  <si>
    <t>Madonas iela</t>
  </si>
  <si>
    <t>D100382000020</t>
  </si>
  <si>
    <t>Mazā Stacijas iela</t>
  </si>
  <si>
    <t>D100382000021</t>
  </si>
  <si>
    <t>Nesaules iela</t>
  </si>
  <si>
    <t>D100382000022</t>
  </si>
  <si>
    <t>Ozolu iela</t>
  </si>
  <si>
    <t>D100382000023</t>
  </si>
  <si>
    <t>D100382000024</t>
  </si>
  <si>
    <t>Peldu iela</t>
  </si>
  <si>
    <t>D100382000025</t>
  </si>
  <si>
    <t>D100382000026</t>
  </si>
  <si>
    <t>D100382000027</t>
  </si>
  <si>
    <t>Raiņa iela</t>
  </si>
  <si>
    <t>D100382000028</t>
  </si>
  <si>
    <t>Rīgas iela</t>
  </si>
  <si>
    <t>x=316190  y=640316</t>
  </si>
  <si>
    <t>D100382000029</t>
  </si>
  <si>
    <t>Rūpnīcas iela</t>
  </si>
  <si>
    <t>D100382000030</t>
  </si>
  <si>
    <t>D100382000031</t>
  </si>
  <si>
    <t>Silaines iela</t>
  </si>
  <si>
    <t>D100382000032</t>
  </si>
  <si>
    <t>Stacijas iela</t>
  </si>
  <si>
    <t>D100382000033</t>
  </si>
  <si>
    <t>Strautu iela</t>
  </si>
  <si>
    <t>D100382000034</t>
  </si>
  <si>
    <t>Upes iela</t>
  </si>
  <si>
    <t>D100382000035</t>
  </si>
  <si>
    <t>Veidenbauma iela</t>
  </si>
  <si>
    <t>D100382000036</t>
  </si>
  <si>
    <t>Zaļā iela</t>
  </si>
  <si>
    <t>D100382000037</t>
  </si>
  <si>
    <t>Zirgu iela</t>
  </si>
  <si>
    <t>Madonas novada pašvaldības Dzelzavas pagasta pašvaldības autoceļu un ielu saraksts</t>
  </si>
  <si>
    <r>
      <t>brauktuves laukums (m</t>
    </r>
    <r>
      <rPr>
        <vertAlign val="superscript"/>
        <sz val="10"/>
        <color theme="1"/>
        <rFont val="Times New Roman"/>
        <family val="1"/>
        <charset val="186"/>
      </rPr>
      <t>2</t>
    </r>
    <r>
      <rPr>
        <sz val="10"/>
        <color theme="1"/>
        <rFont val="Times New Roman"/>
        <family val="1"/>
        <charset val="186"/>
      </rPr>
      <t>)</t>
    </r>
  </si>
  <si>
    <r>
      <t>divlīmeņu nobrauktuves brauktuves laukums (m</t>
    </r>
    <r>
      <rPr>
        <vertAlign val="superscript"/>
        <sz val="10"/>
        <color theme="1"/>
        <rFont val="Times New Roman"/>
        <family val="1"/>
        <charset val="186"/>
      </rPr>
      <t>2</t>
    </r>
    <r>
      <rPr>
        <sz val="10"/>
        <color theme="1"/>
        <rFont val="Times New Roman"/>
        <family val="1"/>
        <charset val="186"/>
      </rPr>
      <t>)</t>
    </r>
  </si>
  <si>
    <r>
      <t>laukums (m</t>
    </r>
    <r>
      <rPr>
        <vertAlign val="superscript"/>
        <sz val="10"/>
        <color theme="1"/>
        <rFont val="Times New Roman"/>
        <family val="1"/>
        <charset val="186"/>
      </rPr>
      <t>2</t>
    </r>
    <r>
      <rPr>
        <sz val="10"/>
        <color theme="1"/>
        <rFont val="Times New Roman"/>
        <family val="1"/>
        <charset val="186"/>
      </rPr>
      <t>)*</t>
    </r>
  </si>
  <si>
    <t>A100384400001</t>
  </si>
  <si>
    <t>Dzelzava</t>
  </si>
  <si>
    <t xml:space="preserve">A100384400002
</t>
  </si>
  <si>
    <t xml:space="preserve">A100384400003
</t>
  </si>
  <si>
    <t xml:space="preserve">A100384400004
</t>
  </si>
  <si>
    <t>Rūķu iela</t>
  </si>
  <si>
    <t>Aizpurve</t>
  </si>
  <si>
    <t xml:space="preserve">A200384400005
</t>
  </si>
  <si>
    <t>Dzelzava-Līgo</t>
  </si>
  <si>
    <t>0,00</t>
  </si>
  <si>
    <t>Liede</t>
  </si>
  <si>
    <t>1,23</t>
  </si>
  <si>
    <t>X:648855.980</t>
  </si>
  <si>
    <t>18,1</t>
  </si>
  <si>
    <t>betons</t>
  </si>
  <si>
    <t>Y;320589.715</t>
  </si>
  <si>
    <t>70500060129*</t>
  </si>
  <si>
    <t>A100384400006</t>
  </si>
  <si>
    <t>Jaunlindes - Biksene</t>
  </si>
  <si>
    <t>grunts</t>
  </si>
  <si>
    <t>A100384400007</t>
  </si>
  <si>
    <t>Griguļi - Kopupļaides</t>
  </si>
  <si>
    <t>70500030069*</t>
  </si>
  <si>
    <t>70500030189*</t>
  </si>
  <si>
    <t>70500030022*</t>
  </si>
  <si>
    <t>70500030028*</t>
  </si>
  <si>
    <t>70500030002*</t>
  </si>
  <si>
    <t>A100384400008</t>
  </si>
  <si>
    <t>Laucene  - Garzaki</t>
  </si>
  <si>
    <t>A100384400009</t>
  </si>
  <si>
    <t>Bučauska - Bērziņi</t>
  </si>
  <si>
    <t>70500040018*</t>
  </si>
  <si>
    <t>A100384400010</t>
  </si>
  <si>
    <t>Grandupes - Bučauska</t>
  </si>
  <si>
    <t>B100384400011</t>
  </si>
  <si>
    <t>Ješkāni - Mežļaides</t>
  </si>
  <si>
    <t>B100384400012</t>
  </si>
  <si>
    <t>Krampāni - Sīmašas</t>
  </si>
  <si>
    <t>Mežļaides</t>
  </si>
  <si>
    <t>2,86</t>
  </si>
  <si>
    <t>X:650210.997</t>
  </si>
  <si>
    <t>Y:322460.530</t>
  </si>
  <si>
    <t>B100384400013</t>
  </si>
  <si>
    <t>Sīmašas- Obzerkalns</t>
  </si>
  <si>
    <t>70500060098*</t>
  </si>
  <si>
    <t>70500060138*</t>
  </si>
  <si>
    <t>70500060137*</t>
  </si>
  <si>
    <t>70500060126*</t>
  </si>
  <si>
    <t>B100384400014</t>
  </si>
  <si>
    <t>Veckrogi - Lobenas</t>
  </si>
  <si>
    <t>70500020034* 70500020234*</t>
  </si>
  <si>
    <t>70500020006*  70500050291*</t>
  </si>
  <si>
    <t>70500020006*  70500050238*</t>
  </si>
  <si>
    <t>70500020017* 70500020132</t>
  </si>
  <si>
    <t>70500020017* 70500020028*</t>
  </si>
  <si>
    <t>70500020008*</t>
  </si>
  <si>
    <t>B100384400015</t>
  </si>
  <si>
    <t>Balvānīcas - Kraukļi</t>
  </si>
  <si>
    <t>B100384400016</t>
  </si>
  <si>
    <t>Grandupes - Rijasmežs</t>
  </si>
  <si>
    <t>70500050415* 70500050167*</t>
  </si>
  <si>
    <t>70500050415*  70500050171*</t>
  </si>
  <si>
    <t>70500050400* 70500050355</t>
  </si>
  <si>
    <t>70500050400* 70500050092*</t>
  </si>
  <si>
    <t>70500050253*</t>
  </si>
  <si>
    <t>B100384400017</t>
  </si>
  <si>
    <t>Darbnīcas - Biksene</t>
  </si>
  <si>
    <t>B100384400018</t>
  </si>
  <si>
    <t>Zīles-Stradi-Gribažas</t>
  </si>
  <si>
    <t>70500010008*</t>
  </si>
  <si>
    <t>B100384400019</t>
  </si>
  <si>
    <t>Bakani -Ķāķi</t>
  </si>
  <si>
    <t>70500020011*</t>
  </si>
  <si>
    <t>70500020024*</t>
  </si>
  <si>
    <t>70500020096*</t>
  </si>
  <si>
    <t>70500020015*</t>
  </si>
  <si>
    <t>70500020062*</t>
  </si>
  <si>
    <t>70500020165*</t>
  </si>
  <si>
    <t>B100384400020</t>
  </si>
  <si>
    <t>Kraujas - Kraujeļmi</t>
  </si>
  <si>
    <t>70500020142*</t>
  </si>
  <si>
    <t>70500020030*</t>
  </si>
  <si>
    <t>70500020101*</t>
  </si>
  <si>
    <t>70500020013*</t>
  </si>
  <si>
    <t>70500020092*</t>
  </si>
  <si>
    <t>B100384400021</t>
  </si>
  <si>
    <t>Sūnēklis - Ceļmalas</t>
  </si>
  <si>
    <t>B100384400022</t>
  </si>
  <si>
    <t>Sniķeri - Jaunbakāni</t>
  </si>
  <si>
    <t>B100384400023</t>
  </si>
  <si>
    <t>Krūmiņi - Klajotnes</t>
  </si>
  <si>
    <t>70500050006*</t>
  </si>
  <si>
    <t>70500050116*</t>
  </si>
  <si>
    <t>70500050082*</t>
  </si>
  <si>
    <t>B100384400024</t>
  </si>
  <si>
    <t>Rumbas - Kalvīši</t>
  </si>
  <si>
    <t>70500050293*</t>
  </si>
  <si>
    <t>70500050294*</t>
  </si>
  <si>
    <t>70500050189*</t>
  </si>
  <si>
    <t>B100384400025</t>
  </si>
  <si>
    <t>Tūjāni - Siecenieki</t>
  </si>
  <si>
    <t>70500010002*</t>
  </si>
  <si>
    <t>70500010075*</t>
  </si>
  <si>
    <t>70500010006*</t>
  </si>
  <si>
    <t>70500010004*</t>
  </si>
  <si>
    <t>70500010028*</t>
  </si>
  <si>
    <t>70500010024*</t>
  </si>
  <si>
    <t>B100384400026</t>
  </si>
  <si>
    <t>Akmentiņi - Sīmašas</t>
  </si>
  <si>
    <t>Akmentiņi</t>
  </si>
  <si>
    <t>2,25</t>
  </si>
  <si>
    <t>X:651110.498 | Y:318256.010</t>
  </si>
  <si>
    <t>70500080081*</t>
  </si>
  <si>
    <t>70500060036*</t>
  </si>
  <si>
    <t>70500060112*</t>
  </si>
  <si>
    <t>70500060016*</t>
  </si>
  <si>
    <t>70500060018*</t>
  </si>
  <si>
    <t>C100384400027</t>
  </si>
  <si>
    <t>Lapenieki - Baldones</t>
  </si>
  <si>
    <t>C100384400028</t>
  </si>
  <si>
    <t>Mucenieki - Muzejs</t>
  </si>
  <si>
    <t>C100384400029</t>
  </si>
  <si>
    <t>Krastiņi - Siliņi</t>
  </si>
  <si>
    <t>C100384400030</t>
  </si>
  <si>
    <t>Balvānīcas - Puntūzis</t>
  </si>
  <si>
    <t>C100384400031</t>
  </si>
  <si>
    <t>Birznieki - Karpi</t>
  </si>
  <si>
    <t>70500020007*</t>
  </si>
  <si>
    <t>C100384400032</t>
  </si>
  <si>
    <t>Centrs - Pakalnieši</t>
  </si>
  <si>
    <t>70500050257*</t>
  </si>
  <si>
    <t>70500050379*</t>
  </si>
  <si>
    <t>70500050218*</t>
  </si>
  <si>
    <t>70500050216*</t>
  </si>
  <si>
    <t>70500050219*</t>
  </si>
  <si>
    <t>70500050258*</t>
  </si>
  <si>
    <t>70500050092*</t>
  </si>
  <si>
    <t>C100384400033</t>
  </si>
  <si>
    <t>Griguļi - Jūrmalnieki</t>
  </si>
  <si>
    <t>70500030106*</t>
  </si>
  <si>
    <t>70500030037*</t>
  </si>
  <si>
    <t>70500020073*</t>
  </si>
  <si>
    <t>70500030031*</t>
  </si>
  <si>
    <t>C100384400034</t>
  </si>
  <si>
    <t>Balvānīcas - Krastiņi</t>
  </si>
  <si>
    <t>70500040041*</t>
  </si>
  <si>
    <t>70500040020*</t>
  </si>
  <si>
    <t>70500040128*</t>
  </si>
  <si>
    <t>C100384400035</t>
  </si>
  <si>
    <t>Robežkalns - Banurti</t>
  </si>
  <si>
    <t>C100384400036</t>
  </si>
  <si>
    <t>Mežlaides - Stupeles</t>
  </si>
  <si>
    <t>70500030081*</t>
  </si>
  <si>
    <t>70500030052*</t>
  </si>
  <si>
    <t>70500030177*</t>
  </si>
  <si>
    <t>C100384400037</t>
  </si>
  <si>
    <t>Pašvaldības autoceļš Mežsētas - Zāģukalns</t>
  </si>
  <si>
    <t>C100384400038</t>
  </si>
  <si>
    <t>Mazkalniņi - Dzērbi</t>
  </si>
  <si>
    <t>70500040006*</t>
  </si>
  <si>
    <t>Madonas novada Ērgļu pagasta pašvaldības autoceļu un ielu saraksts</t>
  </si>
  <si>
    <t>A100384500001</t>
  </si>
  <si>
    <t>Līkā iela</t>
  </si>
  <si>
    <t>70540080642</t>
  </si>
  <si>
    <t>Ērgļi</t>
  </si>
  <si>
    <t>70540080826*</t>
  </si>
  <si>
    <t>A100384500002</t>
  </si>
  <si>
    <t>Mazā iela</t>
  </si>
  <si>
    <t>70540080637</t>
  </si>
  <si>
    <t>A100384500003</t>
  </si>
  <si>
    <t>70540080636</t>
  </si>
  <si>
    <t>A100384500004</t>
  </si>
  <si>
    <t>Priežu iela</t>
  </si>
  <si>
    <t>70540080635</t>
  </si>
  <si>
    <t>70540080082*</t>
  </si>
  <si>
    <t>A100384500005</t>
  </si>
  <si>
    <t>Rūpniecības iela</t>
  </si>
  <si>
    <t>70540080634</t>
  </si>
  <si>
    <t>A100384500006</t>
  </si>
  <si>
    <t xml:space="preserve"> Nīnēnu iela </t>
  </si>
  <si>
    <t>70540080595</t>
  </si>
  <si>
    <t>A100384500007</t>
  </si>
  <si>
    <t xml:space="preserve">  Blaumaņa iela</t>
  </si>
  <si>
    <t>70540080618</t>
  </si>
  <si>
    <t>A100384500008</t>
  </si>
  <si>
    <t xml:space="preserve">  Skanstes iela</t>
  </si>
  <si>
    <t>70540080507*</t>
  </si>
  <si>
    <t>A100384500009</t>
  </si>
  <si>
    <t xml:space="preserve">  Oškalna iela</t>
  </si>
  <si>
    <t>70540080601</t>
  </si>
  <si>
    <t>70540080366*</t>
  </si>
  <si>
    <t>A100384500010</t>
  </si>
  <si>
    <t>Lauksaimniecības iela</t>
  </si>
  <si>
    <t>70540080602</t>
  </si>
  <si>
    <t>70540080649</t>
  </si>
  <si>
    <t>A100384500011</t>
  </si>
  <si>
    <t xml:space="preserve"> Skolas iela </t>
  </si>
  <si>
    <t>70540080643</t>
  </si>
  <si>
    <t>A100384500012</t>
  </si>
  <si>
    <t>Pumpuru iela</t>
  </si>
  <si>
    <t>70540080605</t>
  </si>
  <si>
    <t>A100384500013</t>
  </si>
  <si>
    <t xml:space="preserve"> Strauta iela</t>
  </si>
  <si>
    <t>70540080606</t>
  </si>
  <si>
    <t>70540080453*</t>
  </si>
  <si>
    <t>A100384500014</t>
  </si>
  <si>
    <t xml:space="preserve"> Kaļvukalna iela</t>
  </si>
  <si>
    <t>70540080662</t>
  </si>
  <si>
    <t>A100384500015</t>
  </si>
  <si>
    <t xml:space="preserve"> Kokneses iela</t>
  </si>
  <si>
    <t>70540080621</t>
  </si>
  <si>
    <t>A100384500016</t>
  </si>
  <si>
    <t xml:space="preserve"> Zaļā iela </t>
  </si>
  <si>
    <t>70540080620</t>
  </si>
  <si>
    <t>A100384500017</t>
  </si>
  <si>
    <t xml:space="preserve">  Upes iela</t>
  </si>
  <si>
    <t>70540080763*</t>
  </si>
  <si>
    <t>70540080493*</t>
  </si>
  <si>
    <t>70540080494*</t>
  </si>
  <si>
    <t>A100384500018</t>
  </si>
  <si>
    <t xml:space="preserve">  Parka iela</t>
  </si>
  <si>
    <t>70540080631</t>
  </si>
  <si>
    <t>A100384500019</t>
  </si>
  <si>
    <t xml:space="preserve">  Stacijas iela</t>
  </si>
  <si>
    <t>70540080632</t>
  </si>
  <si>
    <t>A100384500020</t>
  </si>
  <si>
    <t xml:space="preserve">  Smilšu iela</t>
  </si>
  <si>
    <t>70540080609</t>
  </si>
  <si>
    <t>A100384500021</t>
  </si>
  <si>
    <t xml:space="preserve">  J.Grota iela</t>
  </si>
  <si>
    <t>70540080645</t>
  </si>
  <si>
    <t>70540080608</t>
  </si>
  <si>
    <t>A100384500022</t>
  </si>
  <si>
    <t xml:space="preserve">  Vidzemes iela</t>
  </si>
  <si>
    <t>70540080613</t>
  </si>
  <si>
    <t>A200384500023</t>
  </si>
  <si>
    <t>Katrīnas ceļš - Danderi - Vāķēni</t>
  </si>
  <si>
    <t>70540010077</t>
  </si>
  <si>
    <t>70540030040</t>
  </si>
  <si>
    <t>A200384500024</t>
  </si>
  <si>
    <t>Rīgas ceļš - Klapčas</t>
  </si>
  <si>
    <t>70540060020*</t>
  </si>
  <si>
    <t>70540060085</t>
  </si>
  <si>
    <t>A100384500025</t>
  </si>
  <si>
    <t>Mežmalas - Gruņģi - Graudiņi</t>
  </si>
  <si>
    <t>70540070032*</t>
  </si>
  <si>
    <t>70540070031*</t>
  </si>
  <si>
    <t>70540070015*</t>
  </si>
  <si>
    <t>70540070039*</t>
  </si>
  <si>
    <t xml:space="preserve"> 70540070015* </t>
  </si>
  <si>
    <t xml:space="preserve"> 70540070021*</t>
  </si>
  <si>
    <t>70540070006*</t>
  </si>
  <si>
    <t xml:space="preserve"> 70540070006*</t>
  </si>
  <si>
    <t>70540070034*</t>
  </si>
  <si>
    <t>A100384500026</t>
  </si>
  <si>
    <t>70540080545</t>
  </si>
  <si>
    <t xml:space="preserve">Nekustamā īpašuma nosaukums NĪVKIS tiks mainīts līdz 2028. gada 30.decembrim. </t>
  </si>
  <si>
    <t>A100384500027</t>
  </si>
  <si>
    <t>Zariņi - Aizpurvi - Veģeri - Ērgļi</t>
  </si>
  <si>
    <t>70540070044</t>
  </si>
  <si>
    <t>70540090057*</t>
  </si>
  <si>
    <t>70540090065</t>
  </si>
  <si>
    <t>70540080024*</t>
  </si>
  <si>
    <t>70540080814*</t>
  </si>
  <si>
    <t>70540080033*</t>
  </si>
  <si>
    <t>70540080815*</t>
  </si>
  <si>
    <t>70540080037*</t>
  </si>
  <si>
    <t>70540080409</t>
  </si>
  <si>
    <t>A100384500028</t>
  </si>
  <si>
    <t>Alkšņu ceļš</t>
  </si>
  <si>
    <t>70540080548</t>
  </si>
  <si>
    <t>70540080001*</t>
  </si>
  <si>
    <t xml:space="preserve"> 70600080008*</t>
  </si>
  <si>
    <t>70600080004*</t>
  </si>
  <si>
    <t>70600080005*</t>
  </si>
  <si>
    <t>B100384500029</t>
  </si>
  <si>
    <t>Mazdārziņu ceļš</t>
  </si>
  <si>
    <t>70540080663</t>
  </si>
  <si>
    <t>B100384500030</t>
  </si>
  <si>
    <t>Zāģētavas iela</t>
  </si>
  <si>
    <t>70540080646</t>
  </si>
  <si>
    <t>70540080198*</t>
  </si>
  <si>
    <t>70540080619</t>
  </si>
  <si>
    <t>70540080676*</t>
  </si>
  <si>
    <t>B100384500031</t>
  </si>
  <si>
    <t xml:space="preserve"> Jumurdas iela</t>
  </si>
  <si>
    <t>70540080603</t>
  </si>
  <si>
    <t>70540080644</t>
  </si>
  <si>
    <t>B100384500032</t>
  </si>
  <si>
    <t xml:space="preserve"> Pļavas iela</t>
  </si>
  <si>
    <t>70540080604</t>
  </si>
  <si>
    <t>B100384500033</t>
  </si>
  <si>
    <t xml:space="preserve"> Pļaviņu iela</t>
  </si>
  <si>
    <t>70540080622</t>
  </si>
  <si>
    <t>B100384500034</t>
  </si>
  <si>
    <t xml:space="preserve">  Pavasara iela</t>
  </si>
  <si>
    <t>70540080623</t>
  </si>
  <si>
    <t>B100384500035</t>
  </si>
  <si>
    <t>70540080006*</t>
  </si>
  <si>
    <t>70540080009*</t>
  </si>
  <si>
    <t>70540080293*</t>
  </si>
  <si>
    <t>70540080296*</t>
  </si>
  <si>
    <t>B100384500036</t>
  </si>
  <si>
    <t>70540080629</t>
  </si>
  <si>
    <t>B100384500037</t>
  </si>
  <si>
    <t>Pienotavas iela</t>
  </si>
  <si>
    <t>70540080630</t>
  </si>
  <si>
    <t>B100384500038</t>
  </si>
  <si>
    <t>70540080628</t>
  </si>
  <si>
    <t>B100384500039</t>
  </si>
  <si>
    <t>70540080626</t>
  </si>
  <si>
    <t>B100384500040</t>
  </si>
  <si>
    <t>Ogres iela</t>
  </si>
  <si>
    <t>70540080627</t>
  </si>
  <si>
    <t>B100384500041</t>
  </si>
  <si>
    <t>Ratakalna iela</t>
  </si>
  <si>
    <t>70540080617</t>
  </si>
  <si>
    <t>B100384500042</t>
  </si>
  <si>
    <t xml:space="preserve"> Saules iela</t>
  </si>
  <si>
    <t>70540080615</t>
  </si>
  <si>
    <t>B100384500043</t>
  </si>
  <si>
    <t xml:space="preserve"> Kalna iela </t>
  </si>
  <si>
    <t>70540080616</t>
  </si>
  <si>
    <t>B100384500044</t>
  </si>
  <si>
    <t>Dzelzceļa iela</t>
  </si>
  <si>
    <t>70540080614</t>
  </si>
  <si>
    <t>B100384500045</t>
  </si>
  <si>
    <t xml:space="preserve"> Senču iela</t>
  </si>
  <si>
    <t>70540080612</t>
  </si>
  <si>
    <t>B100384500046</t>
  </si>
  <si>
    <t xml:space="preserve"> Jaunatnes iela</t>
  </si>
  <si>
    <t>70540080611</t>
  </si>
  <si>
    <t>B100384500047</t>
  </si>
  <si>
    <t xml:space="preserve">  Vēja iela</t>
  </si>
  <si>
    <t>70540080610</t>
  </si>
  <si>
    <t>B100384500048</t>
  </si>
  <si>
    <t>70540080467*</t>
  </si>
  <si>
    <t>70540080035*</t>
  </si>
  <si>
    <t>70540080466*</t>
  </si>
  <si>
    <t>B100384500049</t>
  </si>
  <si>
    <t>Mālijas - Virdzītes</t>
  </si>
  <si>
    <t>70540100039*</t>
  </si>
  <si>
    <t>70540100028*</t>
  </si>
  <si>
    <t>70540110067*</t>
  </si>
  <si>
    <t>70540010091*</t>
  </si>
  <si>
    <t>70540080214*</t>
  </si>
  <si>
    <t>70540080177*</t>
  </si>
  <si>
    <t>70540080176*</t>
  </si>
  <si>
    <t>70540080197*</t>
  </si>
  <si>
    <t>B100384500050</t>
  </si>
  <si>
    <t>Katrīnas skola - Baltklāvi</t>
  </si>
  <si>
    <t>70540010076</t>
  </si>
  <si>
    <t>B100384500051</t>
  </si>
  <si>
    <t>Liepupes - Jaunzemi - Veseri</t>
  </si>
  <si>
    <t>70540040100</t>
  </si>
  <si>
    <t>70540040122*</t>
  </si>
  <si>
    <t>70540040051*</t>
  </si>
  <si>
    <t>70540040058*</t>
  </si>
  <si>
    <t>70540040088*</t>
  </si>
  <si>
    <t>70540040042*</t>
  </si>
  <si>
    <t>70540040108</t>
  </si>
  <si>
    <t>70540040069*</t>
  </si>
  <si>
    <t>70540040013*</t>
  </si>
  <si>
    <t>70540040003*</t>
  </si>
  <si>
    <t>70540040004*</t>
  </si>
  <si>
    <t>B100384500052</t>
  </si>
  <si>
    <t>Kaģarags - Spēliņi</t>
  </si>
  <si>
    <t>70540060079</t>
  </si>
  <si>
    <t>70540060023*</t>
  </si>
  <si>
    <t>70540060016*</t>
  </si>
  <si>
    <t>B100384500053</t>
  </si>
  <si>
    <t>Grīvas  - Vārpas</t>
  </si>
  <si>
    <t>70540050038</t>
  </si>
  <si>
    <t>Tīlts pār Valolu</t>
  </si>
  <si>
    <t>y=310721.50</t>
  </si>
  <si>
    <t>x=600567.38</t>
  </si>
  <si>
    <t>70540050022*</t>
  </si>
  <si>
    <t>70540050024*</t>
  </si>
  <si>
    <t>70540050046</t>
  </si>
  <si>
    <t>70540050033*</t>
  </si>
  <si>
    <t>70540050034*</t>
  </si>
  <si>
    <t>70600010047*</t>
  </si>
  <si>
    <t>70540010065*</t>
  </si>
  <si>
    <t>B100384500054</t>
  </si>
  <si>
    <t>Upmaļi - Pēterēni</t>
  </si>
  <si>
    <t>70540080687</t>
  </si>
  <si>
    <t>70540080669*</t>
  </si>
  <si>
    <t>70540080073*</t>
  </si>
  <si>
    <t>70540080016*</t>
  </si>
  <si>
    <t>B100384500055</t>
  </si>
  <si>
    <t xml:space="preserve">Meņģeļi - Dzelzkājas </t>
  </si>
  <si>
    <t>70540110094</t>
  </si>
  <si>
    <t>70540110092*</t>
  </si>
  <si>
    <t>70540110003*</t>
  </si>
  <si>
    <t>70540110013*</t>
  </si>
  <si>
    <t>70540110022*</t>
  </si>
  <si>
    <t>70540110039*</t>
  </si>
  <si>
    <t>70540110093</t>
  </si>
  <si>
    <t>70540110097*</t>
  </si>
  <si>
    <t>B100384500056</t>
  </si>
  <si>
    <t>P81-Kalna Liniņi</t>
  </si>
  <si>
    <t>70540110062*</t>
  </si>
  <si>
    <t>Izveidota jauna inženierbūve, tiks reģistrēta līdz 2033.gada 30. decembrim.</t>
  </si>
  <si>
    <t>70540110069*</t>
  </si>
  <si>
    <t>70540110017*</t>
  </si>
  <si>
    <t>70540110001*</t>
  </si>
  <si>
    <t>B100384500057</t>
  </si>
  <si>
    <t>Ziediņi-Laptēni</t>
  </si>
  <si>
    <t>70540110084</t>
  </si>
  <si>
    <t>B100384500058</t>
  </si>
  <si>
    <t>Kaivēni - Brantēni - Sausnējas pag.</t>
  </si>
  <si>
    <t>70540100044</t>
  </si>
  <si>
    <t>B100384500059</t>
  </si>
  <si>
    <t>Ērgļi - Lazdulejas</t>
  </si>
  <si>
    <t>70540080547</t>
  </si>
  <si>
    <t>70540080174*</t>
  </si>
  <si>
    <t>70540080175*</t>
  </si>
  <si>
    <t>70540080247*</t>
  </si>
  <si>
    <t>70540080178*</t>
  </si>
  <si>
    <t>B100384500060</t>
  </si>
  <si>
    <t>Kalnsētas - Paurēni</t>
  </si>
  <si>
    <t>70540080004*</t>
  </si>
  <si>
    <t>70540080003*</t>
  </si>
  <si>
    <t>70540080234*</t>
  </si>
  <si>
    <t>70540080235*</t>
  </si>
  <si>
    <t>B100384500061</t>
  </si>
  <si>
    <t>Termūtnes - Zaļumi</t>
  </si>
  <si>
    <t>70540090023*</t>
  </si>
  <si>
    <t>70540090026*</t>
  </si>
  <si>
    <t>70540090027*</t>
  </si>
  <si>
    <t>70540090029*</t>
  </si>
  <si>
    <t>70540090028*</t>
  </si>
  <si>
    <t>B100384500062</t>
  </si>
  <si>
    <t>Aizpurvi - Vecbrāķeri</t>
  </si>
  <si>
    <t>70540090075</t>
  </si>
  <si>
    <t>70540090079*</t>
  </si>
  <si>
    <t>70540090078*</t>
  </si>
  <si>
    <t>70540090037*</t>
  </si>
  <si>
    <t>70540090002*</t>
  </si>
  <si>
    <t>70540090062*</t>
  </si>
  <si>
    <t>B200384500063</t>
  </si>
  <si>
    <t>Kaģarags - Beitiņi - Jaundalbi</t>
  </si>
  <si>
    <t>70540060082</t>
  </si>
  <si>
    <t>70540060003*</t>
  </si>
  <si>
    <t>70540060080</t>
  </si>
  <si>
    <t>70540060114</t>
  </si>
  <si>
    <t>70540060117</t>
  </si>
  <si>
    <t>70540090057</t>
  </si>
  <si>
    <t>70540090063</t>
  </si>
  <si>
    <t>70540090005*</t>
  </si>
  <si>
    <t>70540060109</t>
  </si>
  <si>
    <t>70540060014*</t>
  </si>
  <si>
    <t>C100384500064</t>
  </si>
  <si>
    <t>Vāķēni-Jurcēni</t>
  </si>
  <si>
    <t>70540030041</t>
  </si>
  <si>
    <t xml:space="preserve"> C100384500065</t>
  </si>
  <si>
    <t>Itālijas - Kalvēni</t>
  </si>
  <si>
    <t>70540040099</t>
  </si>
  <si>
    <t>70540040114</t>
  </si>
  <si>
    <t>70540040025*</t>
  </si>
  <si>
    <t>70540040107</t>
  </si>
  <si>
    <t>70540030048</t>
  </si>
  <si>
    <t>70540060029*</t>
  </si>
  <si>
    <t>C100384500066</t>
  </si>
  <si>
    <t>Rīgas ceļš - Anduļēni</t>
  </si>
  <si>
    <t>70540070053</t>
  </si>
  <si>
    <t>70540070003*</t>
  </si>
  <si>
    <t>C100384500067</t>
  </si>
  <si>
    <t>Medņi - Luksti</t>
  </si>
  <si>
    <t>70540070043</t>
  </si>
  <si>
    <t>70540070046</t>
  </si>
  <si>
    <t>C100384500068</t>
  </si>
  <si>
    <t>Sauleskalna kapi - Gruņģīši</t>
  </si>
  <si>
    <t>70540070045</t>
  </si>
  <si>
    <t>C100384500069</t>
  </si>
  <si>
    <t>Katrīnas ceļš - Brīvnieki</t>
  </si>
  <si>
    <t>70540080654</t>
  </si>
  <si>
    <t>70540080244*</t>
  </si>
  <si>
    <t>70540080240*</t>
  </si>
  <si>
    <t>C100384500070</t>
  </si>
  <si>
    <t>Ērgļi - Lejas Tašķēni</t>
  </si>
  <si>
    <t>70540080242*</t>
  </si>
  <si>
    <t>70540080243*</t>
  </si>
  <si>
    <t>70540080101*</t>
  </si>
  <si>
    <t>70540080245*</t>
  </si>
  <si>
    <t>C100384500071</t>
  </si>
  <si>
    <t>Bērzlīči - Lempēni</t>
  </si>
  <si>
    <t>70540050039</t>
  </si>
  <si>
    <t>70540050069*</t>
  </si>
  <si>
    <t>70540050028*</t>
  </si>
  <si>
    <t>C100384500072</t>
  </si>
  <si>
    <t>Meņģeļi - Ozolkalni</t>
  </si>
  <si>
    <t>70540110010*</t>
  </si>
  <si>
    <t>70540110041*</t>
  </si>
  <si>
    <t>70540110004*</t>
  </si>
  <si>
    <t>70540110018*</t>
  </si>
  <si>
    <t xml:space="preserve"> 70540110004*</t>
  </si>
  <si>
    <t>C100384500073</t>
  </si>
  <si>
    <t>Pļaviņu ceļš - Kranci</t>
  </si>
  <si>
    <t>70540110007*</t>
  </si>
  <si>
    <t>70540110014*</t>
  </si>
  <si>
    <t>C100384500074</t>
  </si>
  <si>
    <t>Smilgas-Dravnieki</t>
  </si>
  <si>
    <t>70540080210*</t>
  </si>
  <si>
    <t>C100384500075</t>
  </si>
  <si>
    <t>Kokneses ceļš  - Ķikuti</t>
  </si>
  <si>
    <t>70540100040*</t>
  </si>
  <si>
    <t>70540100031*</t>
  </si>
  <si>
    <t>70540100030*</t>
  </si>
  <si>
    <t>70540100025*</t>
  </si>
  <si>
    <t>70540100024*</t>
  </si>
  <si>
    <t>70600100047*</t>
  </si>
  <si>
    <t>C100384500076</t>
  </si>
  <si>
    <t>Kokneses ceļš - Pīlāti</t>
  </si>
  <si>
    <t>70540100005*</t>
  </si>
  <si>
    <t>70540100016*</t>
  </si>
  <si>
    <t>70540100007*</t>
  </si>
  <si>
    <t>C100384500077</t>
  </si>
  <si>
    <t>Priednieki - Gaigalas</t>
  </si>
  <si>
    <t>70540090054*</t>
  </si>
  <si>
    <t>70540090045*</t>
  </si>
  <si>
    <t>C100384500078</t>
  </si>
  <si>
    <t>Priednieki - Aizkalnes</t>
  </si>
  <si>
    <t>70540090055*</t>
  </si>
  <si>
    <t>70540090025*</t>
  </si>
  <si>
    <t>C100384500079</t>
  </si>
  <si>
    <t>Veģeri - Jaunbrāķeri</t>
  </si>
  <si>
    <t>70540090064</t>
  </si>
  <si>
    <t>C100384500080</t>
  </si>
  <si>
    <t>Pipari - Ķeimetes - Aizpurvi</t>
  </si>
  <si>
    <t>70540070028*</t>
  </si>
  <si>
    <t>70540070027*</t>
  </si>
  <si>
    <t>70540070040*</t>
  </si>
  <si>
    <t>C100384500081</t>
  </si>
  <si>
    <t>Ķemeites - Lejas Aizpurvi</t>
  </si>
  <si>
    <t>70540070022*</t>
  </si>
  <si>
    <t>C100384500082</t>
  </si>
  <si>
    <t>Vimbas - Lapsalas</t>
  </si>
  <si>
    <t>70540060025*</t>
  </si>
  <si>
    <t>70540060007*</t>
  </si>
  <si>
    <t>70540060019*</t>
  </si>
  <si>
    <t>70540060087*</t>
  </si>
  <si>
    <t>Madonas novada pašvaldības Indrānu pagasta autoceļu saraksts</t>
  </si>
  <si>
    <t>A100384600001</t>
  </si>
  <si>
    <t>Meirāni</t>
  </si>
  <si>
    <t>Inženierbūve nav reģistrēta sakarā ar nepietiekamiem līdzekļiem pašvaldības budžetā, tiks reģistrēta līdz 2030.gada 30. decembrim.</t>
  </si>
  <si>
    <t>A100384600002</t>
  </si>
  <si>
    <t>A100384600003</t>
  </si>
  <si>
    <t>Meldru iela</t>
  </si>
  <si>
    <t>A100384600004</t>
  </si>
  <si>
    <t xml:space="preserve">Gundegas - Mantinieki </t>
  </si>
  <si>
    <t>70580160182*</t>
  </si>
  <si>
    <t>A100384600005</t>
  </si>
  <si>
    <t>Lubāna - P82</t>
  </si>
  <si>
    <t>A100384600006</t>
  </si>
  <si>
    <t>Meirāni - P82</t>
  </si>
  <si>
    <t>A100384600007</t>
  </si>
  <si>
    <t xml:space="preserve">Meirāni - Krūmiņi </t>
  </si>
  <si>
    <t>A100384600008</t>
  </si>
  <si>
    <t>Tūjas - Nagliņas</t>
  </si>
  <si>
    <t>B100384600009</t>
  </si>
  <si>
    <t>Indrāni - Dravas</t>
  </si>
  <si>
    <t>70580080001*</t>
  </si>
  <si>
    <t>B100384600010</t>
  </si>
  <si>
    <t>Aizvēji - Liedeskrogs</t>
  </si>
  <si>
    <t>B100384600011</t>
  </si>
  <si>
    <t xml:space="preserve"> Jaunie kapi - Jaunmendaugas</t>
  </si>
  <si>
    <t>Tilts pār Liedi</t>
  </si>
  <si>
    <t>X=663947 Y=312734</t>
  </si>
  <si>
    <t>B100384600012</t>
  </si>
  <si>
    <t>Pārupes - Mendaugas</t>
  </si>
  <si>
    <t>B100384600013</t>
  </si>
  <si>
    <t>Kastaiņi - Moroza</t>
  </si>
  <si>
    <t>B100384600014</t>
  </si>
  <si>
    <t>Ezernieki - Visagals</t>
  </si>
  <si>
    <t>B100384600015</t>
  </si>
  <si>
    <t xml:space="preserve">Sogārdi - Bļodāri  </t>
  </si>
  <si>
    <t>70580170027*</t>
  </si>
  <si>
    <t>B100384600016</t>
  </si>
  <si>
    <t xml:space="preserve">V842 - Kalnabranti </t>
  </si>
  <si>
    <t>70580060004*</t>
  </si>
  <si>
    <t>70580060005*</t>
  </si>
  <si>
    <t>70580060020*</t>
  </si>
  <si>
    <t>70580060018*</t>
  </si>
  <si>
    <t>70580060022*</t>
  </si>
  <si>
    <t>B100384600017</t>
  </si>
  <si>
    <t xml:space="preserve">Dūjiņas - Vaidavas </t>
  </si>
  <si>
    <t>70580110068*</t>
  </si>
  <si>
    <t>70580110057*</t>
  </si>
  <si>
    <t>70580110067*</t>
  </si>
  <si>
    <t>70580110064*</t>
  </si>
  <si>
    <t>70580110059*</t>
  </si>
  <si>
    <t>70580110058*</t>
  </si>
  <si>
    <t>70580110062*</t>
  </si>
  <si>
    <t>B100384600018</t>
  </si>
  <si>
    <t xml:space="preserve">Baltaiskrogs - Eglaines </t>
  </si>
  <si>
    <t>B100384600019</t>
  </si>
  <si>
    <t>Mālkalns - Meldri</t>
  </si>
  <si>
    <t>B100384600020</t>
  </si>
  <si>
    <t>Sprīdīši - Cepurnieki</t>
  </si>
  <si>
    <t>B100384600021</t>
  </si>
  <si>
    <t>P82 - Tauriņi</t>
  </si>
  <si>
    <t>B100384600022</t>
  </si>
  <si>
    <t>Krūmiņi - Blisiņi</t>
  </si>
  <si>
    <t>70580190007*</t>
  </si>
  <si>
    <t>70580190009*</t>
  </si>
  <si>
    <t>70580190012*</t>
  </si>
  <si>
    <t>70580190035*</t>
  </si>
  <si>
    <t>70580190032*</t>
  </si>
  <si>
    <t>70580190076*</t>
  </si>
  <si>
    <t>B100384600023</t>
  </si>
  <si>
    <t>Mantinieki - Liepiņu mājas</t>
  </si>
  <si>
    <t>70580160121*</t>
  </si>
  <si>
    <t>70580160160*</t>
  </si>
  <si>
    <t>70580160191*</t>
  </si>
  <si>
    <t>70580160130*</t>
  </si>
  <si>
    <t>70580160134*</t>
  </si>
  <si>
    <t>70580160137*</t>
  </si>
  <si>
    <t>C100384600024</t>
  </si>
  <si>
    <t>Līčagals - Pededzes laipas</t>
  </si>
  <si>
    <t>C100384600025</t>
  </si>
  <si>
    <t>Sogārdi - Ceplis</t>
  </si>
  <si>
    <t>70580160058*</t>
  </si>
  <si>
    <t>70580160042*</t>
  </si>
  <si>
    <t>70580160026*</t>
  </si>
  <si>
    <t>70580160057*</t>
  </si>
  <si>
    <t>Madonas novada Jumurdas pagasta pašvaldības autoceļu un ielu saraksts</t>
  </si>
  <si>
    <t>A100384700001</t>
  </si>
  <si>
    <t>70600030195</t>
  </si>
  <si>
    <t>Jumurda</t>
  </si>
  <si>
    <t>70600030193*</t>
  </si>
  <si>
    <t>70600030102*</t>
  </si>
  <si>
    <t>70600030112*</t>
  </si>
  <si>
    <t>70600030134*</t>
  </si>
  <si>
    <t>70600030018*</t>
  </si>
  <si>
    <t>70600030135*</t>
  </si>
  <si>
    <t>70600030004</t>
  </si>
  <si>
    <t>A100384700002</t>
  </si>
  <si>
    <t>Ezera iela</t>
  </si>
  <si>
    <t>70600030169</t>
  </si>
  <si>
    <t>A100384700003</t>
  </si>
  <si>
    <t>P33 - Nākotnes iela</t>
  </si>
  <si>
    <t>70600030158</t>
  </si>
  <si>
    <t>70600030113*</t>
  </si>
  <si>
    <t>70600030028*</t>
  </si>
  <si>
    <t>70600030124*</t>
  </si>
  <si>
    <t>A100384700004</t>
  </si>
  <si>
    <t>Gaitas - Ziediņi</t>
  </si>
  <si>
    <t>70600030157</t>
  </si>
  <si>
    <t>70600090044</t>
  </si>
  <si>
    <t>B100384700005</t>
  </si>
  <si>
    <t>P.Upīša iela</t>
  </si>
  <si>
    <t>70600030170</t>
  </si>
  <si>
    <t>B100384700006</t>
  </si>
  <si>
    <t>Jura iela</t>
  </si>
  <si>
    <t>70600030017*</t>
  </si>
  <si>
    <t>70600030053*</t>
  </si>
  <si>
    <t>70600030197</t>
  </si>
  <si>
    <t>70600030120*</t>
  </si>
  <si>
    <t>70600030122*</t>
  </si>
  <si>
    <t>70600030119*</t>
  </si>
  <si>
    <t>70600030125*</t>
  </si>
  <si>
    <t>70600030056*</t>
  </si>
  <si>
    <t>70600030039*</t>
  </si>
  <si>
    <t>70600030128*</t>
  </si>
  <si>
    <t>70600030041*</t>
  </si>
  <si>
    <t>B200384700007</t>
  </si>
  <si>
    <t>Cirsti - Viesakas - Pūpoli</t>
  </si>
  <si>
    <t>70600020034</t>
  </si>
  <si>
    <t>70600040051</t>
  </si>
  <si>
    <t>B100384700008</t>
  </si>
  <si>
    <t>Purva ceļš</t>
  </si>
  <si>
    <t>70600010054</t>
  </si>
  <si>
    <t>B100384700009</t>
  </si>
  <si>
    <t>Vējava - Pulčēni</t>
  </si>
  <si>
    <t>70600060078</t>
  </si>
  <si>
    <t>70600050071*</t>
  </si>
  <si>
    <t>70600060015*</t>
  </si>
  <si>
    <t>70600060099*</t>
  </si>
  <si>
    <t>B100384700010</t>
  </si>
  <si>
    <t>Virdzes - Bākūži</t>
  </si>
  <si>
    <t>70600070058</t>
  </si>
  <si>
    <t>B100384700011</t>
  </si>
  <si>
    <t>Pūpoli - Stuļģi</t>
  </si>
  <si>
    <t>70600040063</t>
  </si>
  <si>
    <t>70600040044*</t>
  </si>
  <si>
    <t>B100384700012</t>
  </si>
  <si>
    <t>Gaitas - Kaļvi - Lubejas upe</t>
  </si>
  <si>
    <t xml:space="preserve">70600030150 </t>
  </si>
  <si>
    <t>70600030029*</t>
  </si>
  <si>
    <t>70600030156</t>
  </si>
  <si>
    <t>y=309294.86</t>
  </si>
  <si>
    <t>Dzelzbetona</t>
  </si>
  <si>
    <t>70600080020*</t>
  </si>
  <si>
    <t>x=604014.27</t>
  </si>
  <si>
    <t>70600090007*</t>
  </si>
  <si>
    <t>B100384700013</t>
  </si>
  <si>
    <t>Kurpnieki - Ezerlīči</t>
  </si>
  <si>
    <t>70600030198</t>
  </si>
  <si>
    <t>70600030109*</t>
  </si>
  <si>
    <t>70600030210*</t>
  </si>
  <si>
    <t>70600030147*</t>
  </si>
  <si>
    <t>70600030107*</t>
  </si>
  <si>
    <t>70600030044*</t>
  </si>
  <si>
    <t>C100384700014</t>
  </si>
  <si>
    <t>Vējavas kapsētas ceļš</t>
  </si>
  <si>
    <t>70600060004*</t>
  </si>
  <si>
    <t>70600060075*</t>
  </si>
  <si>
    <t>C100384700015</t>
  </si>
  <si>
    <t>Andrupi - Luksti</t>
  </si>
  <si>
    <t>70600030202</t>
  </si>
  <si>
    <t>70600030005*</t>
  </si>
  <si>
    <t>70600030054*</t>
  </si>
  <si>
    <t>70600030030*</t>
  </si>
  <si>
    <t>C100384700016</t>
  </si>
  <si>
    <t>Jumurdas kapsētas ceļš</t>
  </si>
  <si>
    <t>70600030200</t>
  </si>
  <si>
    <t>C100384700017</t>
  </si>
  <si>
    <t>Jāņmuiža - Birznieki</t>
  </si>
  <si>
    <t>70600080007*</t>
  </si>
  <si>
    <t>70600080001*</t>
  </si>
  <si>
    <t>70600080023*</t>
  </si>
  <si>
    <t>70600080022*</t>
  </si>
  <si>
    <t>70600080072*</t>
  </si>
  <si>
    <t>70600080068*</t>
  </si>
  <si>
    <t>70600080009*</t>
  </si>
  <si>
    <t>Madonas novada Kalsnavas pagasta pašvaldības autoceļu un ielu saraksts</t>
  </si>
  <si>
    <t>A100384800001</t>
  </si>
  <si>
    <t xml:space="preserve">Veikals - Administratīvā ēka </t>
  </si>
  <si>
    <t>Melnais</t>
  </si>
  <si>
    <t>Kalsnava</t>
  </si>
  <si>
    <t>Inženierbūve nav reģistrēta sakarā ar nepietiekamiem līdzekļiem pašvaldības budžetā, tiks reģistrēta līdz 2031.gada 30. decembrim.</t>
  </si>
  <si>
    <t>A100384800002</t>
  </si>
  <si>
    <t xml:space="preserve">Bērnudārzs - Administratīvā ēka </t>
  </si>
  <si>
    <t>A100384800003</t>
  </si>
  <si>
    <t>70620110012*</t>
  </si>
  <si>
    <t>A100384800004</t>
  </si>
  <si>
    <t>Pārupes iela</t>
  </si>
  <si>
    <t>56.689231, 25.966677</t>
  </si>
  <si>
    <t>A100384800005</t>
  </si>
  <si>
    <t>Vesetas iela</t>
  </si>
  <si>
    <t>A100384800006</t>
  </si>
  <si>
    <t>70620110018*</t>
  </si>
  <si>
    <t>A100384800007</t>
  </si>
  <si>
    <t>A100384800008</t>
  </si>
  <si>
    <t>70620110002*</t>
  </si>
  <si>
    <t>70620110170*</t>
  </si>
  <si>
    <t>A10038480009</t>
  </si>
  <si>
    <t>A100384800010</t>
  </si>
  <si>
    <t>Dārza iela</t>
  </si>
  <si>
    <t>70620110047*</t>
  </si>
  <si>
    <t>A100384800011</t>
  </si>
  <si>
    <t>A100384800012</t>
  </si>
  <si>
    <t>A100384800013</t>
  </si>
  <si>
    <t>A100384800014</t>
  </si>
  <si>
    <t>Kastaņi - Ceļmalas</t>
  </si>
  <si>
    <t>70620060011*</t>
  </si>
  <si>
    <t>70620060021*</t>
  </si>
  <si>
    <t>70620030006*</t>
  </si>
  <si>
    <t>A100384800015</t>
  </si>
  <si>
    <t xml:space="preserve">P37 - Eglāji - Kociņi - Slaidiņi </t>
  </si>
  <si>
    <t>70620060012*</t>
  </si>
  <si>
    <t>70620060101*</t>
  </si>
  <si>
    <t>70620060065*</t>
  </si>
  <si>
    <t>70620060008*</t>
  </si>
  <si>
    <t>70620060006*</t>
  </si>
  <si>
    <t>70740080068*</t>
  </si>
  <si>
    <t>A100384800016</t>
  </si>
  <si>
    <t xml:space="preserve">Apšuriņķis - Rūķīsi </t>
  </si>
  <si>
    <t>56.726771, 25.989541</t>
  </si>
  <si>
    <t>70620090112*</t>
  </si>
  <si>
    <t>70620090117*</t>
  </si>
  <si>
    <t>70620090023*</t>
  </si>
  <si>
    <t>A100384800017</t>
  </si>
  <si>
    <t xml:space="preserve">Bārbuļi - Ģērcēni </t>
  </si>
  <si>
    <t>70620060136*</t>
  </si>
  <si>
    <t>70620050032*</t>
  </si>
  <si>
    <t>70620060162*</t>
  </si>
  <si>
    <t>70620060160*</t>
  </si>
  <si>
    <t>70620050106*</t>
  </si>
  <si>
    <t>70620030114*</t>
  </si>
  <si>
    <t>70620030005*</t>
  </si>
  <si>
    <t>70620030034*</t>
  </si>
  <si>
    <t>70620030116*</t>
  </si>
  <si>
    <t>70620030027*</t>
  </si>
  <si>
    <t>70620030117*</t>
  </si>
  <si>
    <t>70620030086*</t>
  </si>
  <si>
    <t>70620030102*</t>
  </si>
  <si>
    <t>70620030001*</t>
  </si>
  <si>
    <t>70620030118*</t>
  </si>
  <si>
    <t>70620050087*</t>
  </si>
  <si>
    <t>70620030048*</t>
  </si>
  <si>
    <t>70620050074*</t>
  </si>
  <si>
    <t>70620050012*</t>
  </si>
  <si>
    <t>70620050047*</t>
  </si>
  <si>
    <t>70620050120*</t>
  </si>
  <si>
    <t>A100384800018</t>
  </si>
  <si>
    <t>Rikšēni - Kalnāres - Viesūnēni</t>
  </si>
  <si>
    <t>70460050021*</t>
  </si>
  <si>
    <t>A100384800019</t>
  </si>
  <si>
    <t xml:space="preserve">Ušēni - Īvāni </t>
  </si>
  <si>
    <t>70620020004*</t>
  </si>
  <si>
    <t>70620050207*</t>
  </si>
  <si>
    <t>A100384800020</t>
  </si>
  <si>
    <t xml:space="preserve">Lāči - Jāņukalns </t>
  </si>
  <si>
    <t>56.79299171021636, 25.880626230745452</t>
  </si>
  <si>
    <t>70620010001*</t>
  </si>
  <si>
    <t>70620050071*</t>
  </si>
  <si>
    <t>A100384800021</t>
  </si>
  <si>
    <t xml:space="preserve">V 879 - Tuteni </t>
  </si>
  <si>
    <t>70620080035*</t>
  </si>
  <si>
    <t>56.703209, 25.906912</t>
  </si>
  <si>
    <t>70620070017*</t>
  </si>
  <si>
    <t>56.704030, 25.916874</t>
  </si>
  <si>
    <t>70620070031*</t>
  </si>
  <si>
    <t>70620070004*</t>
  </si>
  <si>
    <t>70620070005*</t>
  </si>
  <si>
    <t>70620070014*</t>
  </si>
  <si>
    <t>70620070027*</t>
  </si>
  <si>
    <t xml:space="preserve"> 70620070007*</t>
  </si>
  <si>
    <t>A100384800022</t>
  </si>
  <si>
    <t xml:space="preserve">Krustupi - 91 kv </t>
  </si>
  <si>
    <t>70620050067*</t>
  </si>
  <si>
    <t>70620050059*</t>
  </si>
  <si>
    <t>70620050029*</t>
  </si>
  <si>
    <t>56.725858, 25.874056</t>
  </si>
  <si>
    <t>70620040024*</t>
  </si>
  <si>
    <t>70620070020*</t>
  </si>
  <si>
    <t>70620070018*</t>
  </si>
  <si>
    <t>A100384800023</t>
  </si>
  <si>
    <t>Kalsnavas apvedceļš</t>
  </si>
  <si>
    <t>A100384800024</t>
  </si>
  <si>
    <t xml:space="preserve">Aiviekste - Aronieši </t>
  </si>
  <si>
    <t>70620120027*</t>
  </si>
  <si>
    <t>A100384800025</t>
  </si>
  <si>
    <t xml:space="preserve">Caunes - Ķuši </t>
  </si>
  <si>
    <t>70620050001*</t>
  </si>
  <si>
    <t>70620050021*</t>
  </si>
  <si>
    <t>70620050035*</t>
  </si>
  <si>
    <t>70620050112*</t>
  </si>
  <si>
    <t>70620050015*</t>
  </si>
  <si>
    <t>70620050064*</t>
  </si>
  <si>
    <t>A100384800026</t>
  </si>
  <si>
    <t xml:space="preserve">Aiviekste - Austrumi </t>
  </si>
  <si>
    <t>70620120090*</t>
  </si>
  <si>
    <t>70620120038*</t>
  </si>
  <si>
    <t>70620120128*</t>
  </si>
  <si>
    <t>B100384800027</t>
  </si>
  <si>
    <t xml:space="preserve">Pļavas iela </t>
  </si>
  <si>
    <t>70620110024*</t>
  </si>
  <si>
    <t>B100384800028</t>
  </si>
  <si>
    <t xml:space="preserve">Spirta rūpnīca - Attīrīšanas iekārtas </t>
  </si>
  <si>
    <t>70620110476*</t>
  </si>
  <si>
    <t>70620110289*</t>
  </si>
  <si>
    <t>B100384800029</t>
  </si>
  <si>
    <t>Darbnīcas - Spēkstacija</t>
  </si>
  <si>
    <t>B100384800030</t>
  </si>
  <si>
    <t xml:space="preserve">Strauta iela </t>
  </si>
  <si>
    <t>Jāņukalns</t>
  </si>
  <si>
    <t>70620050157*</t>
  </si>
  <si>
    <t>B100384800031</t>
  </si>
  <si>
    <t>Birzītes - Vecais pagasta nams</t>
  </si>
  <si>
    <t>70620050131*</t>
  </si>
  <si>
    <t>70620050082*</t>
  </si>
  <si>
    <t>70620050004*</t>
  </si>
  <si>
    <t>70620050178*</t>
  </si>
  <si>
    <t>B100384800032</t>
  </si>
  <si>
    <t>Veckalsnava - Zaķi</t>
  </si>
  <si>
    <t>70620060025*</t>
  </si>
  <si>
    <t>70620060149*</t>
  </si>
  <si>
    <t>70620060075*</t>
  </si>
  <si>
    <t>B100384800033</t>
  </si>
  <si>
    <t xml:space="preserve">Zaķi - Sidrabiņi </t>
  </si>
  <si>
    <t>70620060183*</t>
  </si>
  <si>
    <t>70620060180*</t>
  </si>
  <si>
    <t>70620060064*</t>
  </si>
  <si>
    <t>70620060208*</t>
  </si>
  <si>
    <t>70620060206*</t>
  </si>
  <si>
    <t>70620060088*</t>
  </si>
  <si>
    <t>B100384800034</t>
  </si>
  <si>
    <t>P37 - Dimanti - Kalsnavas stacija - Robežnieki</t>
  </si>
  <si>
    <t>70620060145*</t>
  </si>
  <si>
    <t>70620060013*</t>
  </si>
  <si>
    <t>70620100037*</t>
  </si>
  <si>
    <t>70620100046*</t>
  </si>
  <si>
    <t>70620100080*</t>
  </si>
  <si>
    <t>B100384800035</t>
  </si>
  <si>
    <t>P37 - Apšuriņķis-Robežnieki - Rubeņi</t>
  </si>
  <si>
    <t>70620090006*</t>
  </si>
  <si>
    <t>70620090050*</t>
  </si>
  <si>
    <t>70620100063*</t>
  </si>
  <si>
    <t>3,99 km</t>
  </si>
  <si>
    <t>56.71217522475281, 26.043097513614406</t>
  </si>
  <si>
    <t>B100384800036</t>
  </si>
  <si>
    <t xml:space="preserve">Salānieši - Silkalni </t>
  </si>
  <si>
    <t xml:space="preserve">70620100033* </t>
  </si>
  <si>
    <t>70620100015*</t>
  </si>
  <si>
    <t>70620100016*</t>
  </si>
  <si>
    <t>70620100011*</t>
  </si>
  <si>
    <t>70620100065*</t>
  </si>
  <si>
    <t>70620100017*</t>
  </si>
  <si>
    <t>70620100075*</t>
  </si>
  <si>
    <t>70620100042*</t>
  </si>
  <si>
    <t>70620100012*</t>
  </si>
  <si>
    <t>70620100020*</t>
  </si>
  <si>
    <t>70620100114*</t>
  </si>
  <si>
    <t>70620100113*</t>
  </si>
  <si>
    <t>70620110055*</t>
  </si>
  <si>
    <t>2,6 km</t>
  </si>
  <si>
    <t>56.6912370532768,                    26.001153374935804</t>
  </si>
  <si>
    <t>70620110058*</t>
  </si>
  <si>
    <t>B100384800037</t>
  </si>
  <si>
    <t xml:space="preserve">Rūķīši - Zaļumnieki </t>
  </si>
  <si>
    <t>70620060041*</t>
  </si>
  <si>
    <t>70620060142*</t>
  </si>
  <si>
    <t>B100384800038</t>
  </si>
  <si>
    <t xml:space="preserve">Apšuriņķis - Alužēni - Ragāres </t>
  </si>
  <si>
    <t xml:space="preserve">70620090001* </t>
  </si>
  <si>
    <t>2,3 km</t>
  </si>
  <si>
    <t>56.71896350027042, 25.960835470422804</t>
  </si>
  <si>
    <t>B100384800039</t>
  </si>
  <si>
    <t xml:space="preserve">Caunes - Cēsaiņi </t>
  </si>
  <si>
    <t>70620040001*</t>
  </si>
  <si>
    <t>70620040016*</t>
  </si>
  <si>
    <t>B100384800040</t>
  </si>
  <si>
    <t xml:space="preserve">Lidlauks - Silavas </t>
  </si>
  <si>
    <t>70620080002*</t>
  </si>
  <si>
    <t>70620080037*</t>
  </si>
  <si>
    <t>70620080031*</t>
  </si>
  <si>
    <t>70620080081*</t>
  </si>
  <si>
    <t>70620080057*</t>
  </si>
  <si>
    <t>70620080055*</t>
  </si>
  <si>
    <t>70620080056*</t>
  </si>
  <si>
    <t>70620080084*</t>
  </si>
  <si>
    <t>70620080078*</t>
  </si>
  <si>
    <t>70620080082*</t>
  </si>
  <si>
    <t>B100384800041</t>
  </si>
  <si>
    <t xml:space="preserve">Silavas - Mārtiņēni </t>
  </si>
  <si>
    <t>70620080016*</t>
  </si>
  <si>
    <t>70620080062*</t>
  </si>
  <si>
    <t>70620080061*</t>
  </si>
  <si>
    <t>B100384800042</t>
  </si>
  <si>
    <t xml:space="preserve">Vilnīši - Reiznieki </t>
  </si>
  <si>
    <t>70620120032*</t>
  </si>
  <si>
    <t>70620120005*</t>
  </si>
  <si>
    <t>70620110053*</t>
  </si>
  <si>
    <t>70620110186*</t>
  </si>
  <si>
    <t>B100384800043</t>
  </si>
  <si>
    <t>P37 - Igaijas</t>
  </si>
  <si>
    <t>70620120036*</t>
  </si>
  <si>
    <t>B100384800044</t>
  </si>
  <si>
    <t xml:space="preserve">Apši - Aronieši </t>
  </si>
  <si>
    <t>70620110284*</t>
  </si>
  <si>
    <t>70620110090*</t>
  </si>
  <si>
    <t>B100384800045</t>
  </si>
  <si>
    <t xml:space="preserve">Šmites - Teteri </t>
  </si>
  <si>
    <t>70620110502*</t>
  </si>
  <si>
    <t>70620110504*</t>
  </si>
  <si>
    <t>70620110033*</t>
  </si>
  <si>
    <t>70620110410*</t>
  </si>
  <si>
    <t>70620080045*</t>
  </si>
  <si>
    <t>B100384800046</t>
  </si>
  <si>
    <t xml:space="preserve">Vairogi - Slokātņi </t>
  </si>
  <si>
    <t>70620050095*</t>
  </si>
  <si>
    <t>70620050090*</t>
  </si>
  <si>
    <t>70620050054*</t>
  </si>
  <si>
    <t>70620050011*</t>
  </si>
  <si>
    <t>70620050046*</t>
  </si>
  <si>
    <t>70620010004*</t>
  </si>
  <si>
    <t>70620050092*</t>
  </si>
  <si>
    <t>B100384800047</t>
  </si>
  <si>
    <t xml:space="preserve">Aldēni - Stepes </t>
  </si>
  <si>
    <t>70620110270*</t>
  </si>
  <si>
    <t>70620110286*</t>
  </si>
  <si>
    <t>70620110137*</t>
  </si>
  <si>
    <t>70620110077*</t>
  </si>
  <si>
    <t>B100384800048</t>
  </si>
  <si>
    <t xml:space="preserve">Čiekurkalte - Rozas </t>
  </si>
  <si>
    <t>70620110174*</t>
  </si>
  <si>
    <t>B100384800049</t>
  </si>
  <si>
    <t>Jaunkalsnava-Mežvidu kokaudzētava</t>
  </si>
  <si>
    <t>B100384800050</t>
  </si>
  <si>
    <t xml:space="preserve">Rozas  - Krēsliņi </t>
  </si>
  <si>
    <t>B100384800051</t>
  </si>
  <si>
    <t xml:space="preserve">Klajas - Brutēni </t>
  </si>
  <si>
    <t>C100384800052</t>
  </si>
  <si>
    <t xml:space="preserve">P37 - Aizelkšņi </t>
  </si>
  <si>
    <t>C100384800053</t>
  </si>
  <si>
    <t>Jaunrubeņi - Pakaļņi</t>
  </si>
  <si>
    <t>70620100058*</t>
  </si>
  <si>
    <t>70620100050*</t>
  </si>
  <si>
    <t>70620100053*</t>
  </si>
  <si>
    <t>70620100036*</t>
  </si>
  <si>
    <t>70620100023*</t>
  </si>
  <si>
    <t>C100384800054</t>
  </si>
  <si>
    <t xml:space="preserve">Ceļmalas  - Vārpas </t>
  </si>
  <si>
    <t>70620030008*</t>
  </si>
  <si>
    <t>C100384800055</t>
  </si>
  <si>
    <t xml:space="preserve">Dzelzceļa māja 16 km - Stepes </t>
  </si>
  <si>
    <t>70620110218*</t>
  </si>
  <si>
    <t>70620110267*</t>
  </si>
  <si>
    <t>70620110057*</t>
  </si>
  <si>
    <t>70620110217*</t>
  </si>
  <si>
    <t>C100384800056</t>
  </si>
  <si>
    <t xml:space="preserve">Informācijas un administrācijas ēka - Upenieki </t>
  </si>
  <si>
    <t>70620110138*</t>
  </si>
  <si>
    <t>70620110172*</t>
  </si>
  <si>
    <t>70620110150*</t>
  </si>
  <si>
    <t>C100384800057</t>
  </si>
  <si>
    <t xml:space="preserve">Eglāji - Spulgas </t>
  </si>
  <si>
    <t>70620060053*</t>
  </si>
  <si>
    <t>C100384800058</t>
  </si>
  <si>
    <t xml:space="preserve">Alunēni - Kazākas </t>
  </si>
  <si>
    <t>70620010003*</t>
  </si>
  <si>
    <t>70620010009*</t>
  </si>
  <si>
    <t>Madonas novada pašvaldības Ļaudonas pagasta autoceļu un ielu saraksts</t>
  </si>
  <si>
    <t>A100385100001</t>
  </si>
  <si>
    <t>Dzirnavu iela</t>
  </si>
  <si>
    <t>Dzirnavu 1</t>
  </si>
  <si>
    <t>x=288013.499</t>
  </si>
  <si>
    <t>akmens</t>
  </si>
  <si>
    <t>70700070500</t>
  </si>
  <si>
    <t>Ļaudona</t>
  </si>
  <si>
    <t>Inženierbūve nav reģistrēta sakarā ar nepietiekamiem līdzekļiem pašvaldības budžetā, tiks reģistrēta līdz 2039.gada 30. decembrim.</t>
  </si>
  <si>
    <t>y=634256.794</t>
  </si>
  <si>
    <t>Dzirnavu 2</t>
  </si>
  <si>
    <t>x=288022.173</t>
  </si>
  <si>
    <t>y=634270.981</t>
  </si>
  <si>
    <t>A100385100002</t>
  </si>
  <si>
    <t>70700070488</t>
  </si>
  <si>
    <t>B100385100003</t>
  </si>
  <si>
    <t>70700070494</t>
  </si>
  <si>
    <t>B100385100004</t>
  </si>
  <si>
    <t>Graudu iela</t>
  </si>
  <si>
    <t>70700070496</t>
  </si>
  <si>
    <t>B100385100005</t>
  </si>
  <si>
    <t>70700070497</t>
  </si>
  <si>
    <t>B100385100006</t>
  </si>
  <si>
    <t>70700070492</t>
  </si>
  <si>
    <t>B100385100007</t>
  </si>
  <si>
    <t>Klusā iela</t>
  </si>
  <si>
    <t>70700070491</t>
  </si>
  <si>
    <t>B100385100008</t>
  </si>
  <si>
    <t>70700070495</t>
  </si>
  <si>
    <t>NĪVKIS nekorekts nosaukums pie ass</t>
  </si>
  <si>
    <t>B100385100009</t>
  </si>
  <si>
    <t>70700070489</t>
  </si>
  <si>
    <t>B100385100010</t>
  </si>
  <si>
    <t>70700070498</t>
  </si>
  <si>
    <t>B100385100011</t>
  </si>
  <si>
    <t>70700070490</t>
  </si>
  <si>
    <t>B100385100012</t>
  </si>
  <si>
    <t>70700070493</t>
  </si>
  <si>
    <t>B100385100013</t>
  </si>
  <si>
    <t>Dambja iela</t>
  </si>
  <si>
    <t>70700070499 70700070001* 70700070003*</t>
  </si>
  <si>
    <t>B100385100014</t>
  </si>
  <si>
    <t>Toces iela</t>
  </si>
  <si>
    <t>70700040152</t>
  </si>
  <si>
    <t xml:space="preserve">
70700040150</t>
  </si>
  <si>
    <t>A100385100015</t>
  </si>
  <si>
    <t>Kalnāji-Muižnieki</t>
  </si>
  <si>
    <t>70700020107</t>
  </si>
  <si>
    <t>70700020008*</t>
  </si>
  <si>
    <t>A100385100016</t>
  </si>
  <si>
    <t>Tocēni-Pupuri</t>
  </si>
  <si>
    <t>70700040118 70700040013*</t>
  </si>
  <si>
    <t>70700030087</t>
  </si>
  <si>
    <t>A100385100017</t>
  </si>
  <si>
    <t>Aburti-Upesdzīšļi</t>
  </si>
  <si>
    <t>70700100001*</t>
  </si>
  <si>
    <t>70700100159</t>
  </si>
  <si>
    <t>70700090144</t>
  </si>
  <si>
    <t>70700120031</t>
  </si>
  <si>
    <t>A100385100018</t>
  </si>
  <si>
    <t>Sāviena-Ķunci</t>
  </si>
  <si>
    <t>70700130192</t>
  </si>
  <si>
    <t>70700090145 70700090055*</t>
  </si>
  <si>
    <t>B100385100019</t>
  </si>
  <si>
    <t>Tīrumvolgaci-Gaitiņi</t>
  </si>
  <si>
    <t xml:space="preserve">70700070248 70700070159* </t>
  </si>
  <si>
    <t>70700070167*</t>
  </si>
  <si>
    <t>70700070357</t>
  </si>
  <si>
    <t>B100385100020</t>
  </si>
  <si>
    <t>Tīrumvolgaci-Šalku pietura</t>
  </si>
  <si>
    <t>70700080110</t>
  </si>
  <si>
    <t>70700070355</t>
  </si>
  <si>
    <t>B100385100021</t>
  </si>
  <si>
    <t>Ruķi-Sīļi-Ķunci</t>
  </si>
  <si>
    <t>70700070486</t>
  </si>
  <si>
    <t>0.93</t>
  </si>
  <si>
    <t>70700140119 70700140021*</t>
  </si>
  <si>
    <t>B100385100022</t>
  </si>
  <si>
    <t>Cekuļi-Volgaci</t>
  </si>
  <si>
    <t>70700110076</t>
  </si>
  <si>
    <t>B100385100023</t>
  </si>
  <si>
    <t>Silieši-Šalkas-Kārkli</t>
  </si>
  <si>
    <t>70700080013*</t>
  </si>
  <si>
    <t>70700080013* 70700080115</t>
  </si>
  <si>
    <t>70700080010* 70700080128*</t>
  </si>
  <si>
    <t>70700080092* 70700080116 70700080108*</t>
  </si>
  <si>
    <t>70700080116</t>
  </si>
  <si>
    <t>B100385100024</t>
  </si>
  <si>
    <t>Ragukalns-Bērzkalni</t>
  </si>
  <si>
    <t>70700070485</t>
  </si>
  <si>
    <t>B100385100025</t>
  </si>
  <si>
    <t>Vagaļi-Suņupi</t>
  </si>
  <si>
    <t>70700110028</t>
  </si>
  <si>
    <t>0.29</t>
  </si>
  <si>
    <t xml:space="preserve">70700110072* 70700110097 </t>
  </si>
  <si>
    <t>70700110014*</t>
  </si>
  <si>
    <t>70700110014*  70700110015*</t>
  </si>
  <si>
    <t>70700110015*</t>
  </si>
  <si>
    <t>B100385100026</t>
  </si>
  <si>
    <t>Ruķi-Ņāci</t>
  </si>
  <si>
    <t xml:space="preserve">70700070079* </t>
  </si>
  <si>
    <t>70700070079* 70700070041*</t>
  </si>
  <si>
    <t>70700070041* 70700070156*</t>
  </si>
  <si>
    <t>70700070159*</t>
  </si>
  <si>
    <t>B100385100027</t>
  </si>
  <si>
    <t>Noras-Praulienas pagasts</t>
  </si>
  <si>
    <t>70700020078*</t>
  </si>
  <si>
    <t>70700020078* 70700020009*</t>
  </si>
  <si>
    <t>70700020009*</t>
  </si>
  <si>
    <t>70700020028* 70700020045*</t>
  </si>
  <si>
    <t>70700020045*</t>
  </si>
  <si>
    <t>70700020028*</t>
  </si>
  <si>
    <t>70700020122</t>
  </si>
  <si>
    <t>B100385100028</t>
  </si>
  <si>
    <t>Vēresmala-Vilciņi</t>
  </si>
  <si>
    <t>70700040141</t>
  </si>
  <si>
    <t>B100385100029</t>
  </si>
  <si>
    <t>Vēresmala-Binguļi</t>
  </si>
  <si>
    <t>70700040153 70700020076*</t>
  </si>
  <si>
    <t>70700020006*</t>
  </si>
  <si>
    <t>70700020091*</t>
  </si>
  <si>
    <t>70700020092*</t>
  </si>
  <si>
    <t>B100385100030</t>
  </si>
  <si>
    <t>Upmalas-Āriņi</t>
  </si>
  <si>
    <t>70700020176* 70700030036*</t>
  </si>
  <si>
    <t>70700020130</t>
  </si>
  <si>
    <t>70700020065*</t>
  </si>
  <si>
    <t>B100385100031</t>
  </si>
  <si>
    <t>Vīksnas-Stopāni</t>
  </si>
  <si>
    <t>70700030086</t>
  </si>
  <si>
    <t>B100385100032</t>
  </si>
  <si>
    <t>Dzirnavas-Dambīši</t>
  </si>
  <si>
    <t>70700070352</t>
  </si>
  <si>
    <t>B100385100033</t>
  </si>
  <si>
    <t>Dzirnavu iela-Liepas</t>
  </si>
  <si>
    <t>70700070482</t>
  </si>
  <si>
    <t>B100385100034</t>
  </si>
  <si>
    <t>Ceriņi-Mežsētas</t>
  </si>
  <si>
    <t>70700070354</t>
  </si>
  <si>
    <t>B100385100035</t>
  </si>
  <si>
    <t>Radziņi-Vēverāres</t>
  </si>
  <si>
    <t>70700070538* 70700070140*</t>
  </si>
  <si>
    <t>70700070050*</t>
  </si>
  <si>
    <t>70700070483</t>
  </si>
  <si>
    <t>70700070004*</t>
  </si>
  <si>
    <t>B100385100036</t>
  </si>
  <si>
    <t>Leitāni-Birznieki</t>
  </si>
  <si>
    <t>70700060095</t>
  </si>
  <si>
    <t>B100385100037</t>
  </si>
  <si>
    <t>Skutāni-Kalnvirsas</t>
  </si>
  <si>
    <t>70700050052</t>
  </si>
  <si>
    <t>70700060096</t>
  </si>
  <si>
    <t>B100385100038</t>
  </si>
  <si>
    <t>Skutāni-Zeltiņi</t>
  </si>
  <si>
    <t>Inženierbūve nav reģistrēta sakarā ar nepietiekamiem līdzekļiem pašvaldības budžetā, tiks reģistrēta līdz 2039.gada 30. decembrim</t>
  </si>
  <si>
    <t>B100385100039</t>
  </si>
  <si>
    <t>Karjers-Āriņi</t>
  </si>
  <si>
    <t>70700100160 70700100125*</t>
  </si>
  <si>
    <t>70700100125* 70700100018*</t>
  </si>
  <si>
    <t>70700100018* 70700100139</t>
  </si>
  <si>
    <t>B100385100040</t>
  </si>
  <si>
    <t>Masalas-Lejasmizas</t>
  </si>
  <si>
    <t>70700100143* 70700100016*</t>
  </si>
  <si>
    <t>70700100044* 70700100016*</t>
  </si>
  <si>
    <t>70700100042*</t>
  </si>
  <si>
    <t>70700100087*</t>
  </si>
  <si>
    <t>B100385100041</t>
  </si>
  <si>
    <t>Saliņas-Muižnieki</t>
  </si>
  <si>
    <t>70700100124</t>
  </si>
  <si>
    <t>70700100025*</t>
  </si>
  <si>
    <t>B100385100042</t>
  </si>
  <si>
    <t>Jokas-Kangares</t>
  </si>
  <si>
    <t>70700100145</t>
  </si>
  <si>
    <t>70700100078*</t>
  </si>
  <si>
    <t>1.11</t>
  </si>
  <si>
    <t>70700100047*</t>
  </si>
  <si>
    <t>B100385100043</t>
  </si>
  <si>
    <t>Sāvienas skola-Salas</t>
  </si>
  <si>
    <t>70700130136</t>
  </si>
  <si>
    <t>B100385100044</t>
  </si>
  <si>
    <t>Upesdzīšļi-Ezergali</t>
  </si>
  <si>
    <t>70700090146</t>
  </si>
  <si>
    <t>B100385100045</t>
  </si>
  <si>
    <t>Ezergali-Mežāres</t>
  </si>
  <si>
    <t>70700090147 70700090103*</t>
  </si>
  <si>
    <t>B100385100046</t>
  </si>
  <si>
    <t>Upesdzīšļi-Zīliņi</t>
  </si>
  <si>
    <t>70700090148 70700090100*</t>
  </si>
  <si>
    <t>70700130135</t>
  </si>
  <si>
    <t>B100385100047</t>
  </si>
  <si>
    <t>Ozolnieki-Pārgulsarķi</t>
  </si>
  <si>
    <t>70700130007* 70700130260*</t>
  </si>
  <si>
    <t>70700130007*  70700130172*</t>
  </si>
  <si>
    <t>70700130007* 70700130261*</t>
  </si>
  <si>
    <t>70700130007*  70700130145*</t>
  </si>
  <si>
    <t>70700130007*  70700130048* 70700130062*</t>
  </si>
  <si>
    <t>70700130193 70700130048*</t>
  </si>
  <si>
    <t>70700130193</t>
  </si>
  <si>
    <t>70700130103* 70700130193</t>
  </si>
  <si>
    <t>B100385100048</t>
  </si>
  <si>
    <t>Pasiles-Akaslejas</t>
  </si>
  <si>
    <t>70700130158*</t>
  </si>
  <si>
    <t>70700130010*</t>
  </si>
  <si>
    <t>70700130073*</t>
  </si>
  <si>
    <t>B100385100049</t>
  </si>
  <si>
    <t>Driķi-Indrāni</t>
  </si>
  <si>
    <t>70700090038* 70700090088*</t>
  </si>
  <si>
    <t>70700090087* 70700090038*</t>
  </si>
  <si>
    <t>70700090087* 70700090022*</t>
  </si>
  <si>
    <t>70700090072*</t>
  </si>
  <si>
    <t>70700090044* 70700090199</t>
  </si>
  <si>
    <t>70700090044*</t>
  </si>
  <si>
    <t>B100385100050</t>
  </si>
  <si>
    <t>Purnavieši-Joksti</t>
  </si>
  <si>
    <t>0.12</t>
  </si>
  <si>
    <t>70700020001*</t>
  </si>
  <si>
    <t>70700020025* 70700020001*</t>
  </si>
  <si>
    <t>70700020151 70700020025*</t>
  </si>
  <si>
    <t>70700020025* 70700020150*</t>
  </si>
  <si>
    <t>70700020150* 70700020023*</t>
  </si>
  <si>
    <t>70700020150* 70700020059*</t>
  </si>
  <si>
    <t>70700020059* 70700020005*</t>
  </si>
  <si>
    <t>B100385100051</t>
  </si>
  <si>
    <t>Līdumnieki-Virši</t>
  </si>
  <si>
    <t>70700020016*</t>
  </si>
  <si>
    <t>70700020137*</t>
  </si>
  <si>
    <t>70700020164 70700020166* 70700020121*</t>
  </si>
  <si>
    <t>B100385100052</t>
  </si>
  <si>
    <t>Mežvidi-Vecupenieki</t>
  </si>
  <si>
    <t>70700030008*</t>
  </si>
  <si>
    <t>70700030117* 70700030068* 70700030116*</t>
  </si>
  <si>
    <t xml:space="preserve">70700030068* </t>
  </si>
  <si>
    <t>B100385100053</t>
  </si>
  <si>
    <t>Jokas-Caunes</t>
  </si>
  <si>
    <t>70700100051* 70700100082</t>
  </si>
  <si>
    <t>70700100052*</t>
  </si>
  <si>
    <t>70700100075*</t>
  </si>
  <si>
    <t>B100385100054</t>
  </si>
  <si>
    <t>Nirītes-Pakalni</t>
  </si>
  <si>
    <t>70700070067*</t>
  </si>
  <si>
    <t>C100385100055</t>
  </si>
  <si>
    <t>Dravnieki-Kauguri</t>
  </si>
  <si>
    <t>70700040139</t>
  </si>
  <si>
    <t>70700040184*</t>
  </si>
  <si>
    <t>70700040057</t>
  </si>
  <si>
    <t>C100385100056</t>
  </si>
  <si>
    <t>Dāvidi-Dūmiņi</t>
  </si>
  <si>
    <t>70700080129</t>
  </si>
  <si>
    <t>Madonas novada pašvaldības Lazdonas pagasta autoceļu un ielu saraksts</t>
  </si>
  <si>
    <t>A100384900001</t>
  </si>
  <si>
    <t>Lazdona</t>
  </si>
  <si>
    <t>Inženierbūve nav reģistrēta sakarā ar nepietiekamiem līdzekļiem pašvaldības budžetā, tiks reģistrēta līdz 2029.gada 30. decembrim.</t>
  </si>
  <si>
    <t>A100384900002</t>
  </si>
  <si>
    <t xml:space="preserve">Meža iela </t>
  </si>
  <si>
    <t>70660020094*</t>
  </si>
  <si>
    <t>A100384900003</t>
  </si>
  <si>
    <t>A100384900004</t>
  </si>
  <si>
    <t>Centra iela</t>
  </si>
  <si>
    <t>A100384900005</t>
  </si>
  <si>
    <t>Stūreskrogs-Rāceņi 3</t>
  </si>
  <si>
    <t>70660020071</t>
  </si>
  <si>
    <t>70660020029* 70660020007*</t>
  </si>
  <si>
    <t>B100384900006</t>
  </si>
  <si>
    <t>Mazā Ezera iela</t>
  </si>
  <si>
    <t>70660020120</t>
  </si>
  <si>
    <t>Izveidota jauna inženierbūve, tiks reģistrēta līdz 2029.gada 30. decembrim.</t>
  </si>
  <si>
    <t>B100384900007</t>
  </si>
  <si>
    <t>70660020120 70660020209 70660020113*</t>
  </si>
  <si>
    <t xml:space="preserve"> 70660020209 70660020029* 70660020007*</t>
  </si>
  <si>
    <t>70660020007* 70660020120</t>
  </si>
  <si>
    <t>70660020029*</t>
  </si>
  <si>
    <t>B100384900008</t>
  </si>
  <si>
    <t>Ančaugas-Rāceņi 2</t>
  </si>
  <si>
    <t>B100384900009</t>
  </si>
  <si>
    <t>Rāceņi 3-karjers</t>
  </si>
  <si>
    <t>70660020069</t>
  </si>
  <si>
    <t>B100384900010</t>
  </si>
  <si>
    <t>Pilsētas robeža-Ceļu būves SIA</t>
  </si>
  <si>
    <t>70660020070</t>
  </si>
  <si>
    <t>B100384900011</t>
  </si>
  <si>
    <t>Jurģkalni - Baltiņu krustojums</t>
  </si>
  <si>
    <t>70660020173</t>
  </si>
  <si>
    <t>70660020013* 70660020054  70660020042*</t>
  </si>
  <si>
    <t>70660020174</t>
  </si>
  <si>
    <t>B100384900012</t>
  </si>
  <si>
    <t>Ruļli -Zeltkalni</t>
  </si>
  <si>
    <t>70660010024* 70660010021* 70660010061* 70660010048*</t>
  </si>
  <si>
    <t>B100384900013</t>
  </si>
  <si>
    <t>Zīriņu ceļš</t>
  </si>
  <si>
    <t>70660020061* 70010011820* 70010011944* 70660010060* 70660020061</t>
  </si>
  <si>
    <t>B100384900014</t>
  </si>
  <si>
    <t>Madonas apvedceļš-Maztrules</t>
  </si>
  <si>
    <t>70660010067</t>
  </si>
  <si>
    <t>70660010067
70660010084*
70660010123 70660010113* 70660010009* 70660010003* 70660010068*</t>
  </si>
  <si>
    <t>70660010067 70660010112* 70660010084*</t>
  </si>
  <si>
    <t>C100384900015</t>
  </si>
  <si>
    <t>Jurģkalnu ceļš</t>
  </si>
  <si>
    <t>C100384900016</t>
  </si>
  <si>
    <t>Smecere-Kalnu slēpošanas trase</t>
  </si>
  <si>
    <t>70660010056</t>
  </si>
  <si>
    <t xml:space="preserve">Madonas novada pašvaldības Liezēres pagasta autoceļu un ielu saraksts										</t>
  </si>
  <si>
    <t>A100385000001</t>
  </si>
  <si>
    <t>Ozoli</t>
  </si>
  <si>
    <t>A100385000002</t>
  </si>
  <si>
    <t>A100385000003</t>
  </si>
  <si>
    <t>A100385000004</t>
  </si>
  <si>
    <t>A100385000005</t>
  </si>
  <si>
    <t>Liezēre</t>
  </si>
  <si>
    <t>A100385000006</t>
  </si>
  <si>
    <t>Ozolkalna iela</t>
  </si>
  <si>
    <t>70680070049* 
70680070218* 70680070219* 70680070220* 70680070221* 70680070222* 
70680070223* 70680070327* 
70680070209* 70680070211* 
70680070209*</t>
  </si>
  <si>
    <t xml:space="preserve">70680070211* </t>
  </si>
  <si>
    <t>A100385000007</t>
  </si>
  <si>
    <t>Skola-Kauliņkalns</t>
  </si>
  <si>
    <t>A100385000008</t>
  </si>
  <si>
    <t>Ozoli-Ruļmurēni-Platkāji</t>
  </si>
  <si>
    <t>A100385000009</t>
  </si>
  <si>
    <t>Baznīca-Liezēres kultūras nams</t>
  </si>
  <si>
    <t>70680070333 70680070022*</t>
  </si>
  <si>
    <t>70680070177*  70680070039* 70680070351*</t>
  </si>
  <si>
    <t>A100385000010</t>
  </si>
  <si>
    <t>Ozoli-Vēķu pilskalns</t>
  </si>
  <si>
    <t>A100385000011</t>
  </si>
  <si>
    <t>Ozoli-Vēķi</t>
  </si>
  <si>
    <t>A100385000012</t>
  </si>
  <si>
    <t>Ozoli-Kalnieši</t>
  </si>
  <si>
    <t>A100385000013</t>
  </si>
  <si>
    <t>Vīnakalns-Ratnieki</t>
  </si>
  <si>
    <t>B100385000014</t>
  </si>
  <si>
    <t>B100385000015</t>
  </si>
  <si>
    <t>B100385000016</t>
  </si>
  <si>
    <t>Dziļūkstes iela</t>
  </si>
  <si>
    <t>B100385000017</t>
  </si>
  <si>
    <t>70780130052*</t>
  </si>
  <si>
    <t>70680130049*</t>
  </si>
  <si>
    <t>B100385000018</t>
  </si>
  <si>
    <t>70680130060*</t>
  </si>
  <si>
    <t>B100385000019</t>
  </si>
  <si>
    <t>Tirzīši-Sīļi- Mēdzūla</t>
  </si>
  <si>
    <t>B100385000020</t>
  </si>
  <si>
    <t>Dzeņumuiža-Silakurmi</t>
  </si>
  <si>
    <t>70680090033*</t>
  </si>
  <si>
    <t>70680090004*</t>
  </si>
  <si>
    <t>70680090035*</t>
  </si>
  <si>
    <t xml:space="preserve">
70680090043*</t>
  </si>
  <si>
    <t>B100385000021</t>
  </si>
  <si>
    <t>Sveķēnkalns-Gulbēre</t>
  </si>
  <si>
    <t>B100385000022</t>
  </si>
  <si>
    <t>Miķelēni-Linkaskrogs</t>
  </si>
  <si>
    <t>B100385000023</t>
  </si>
  <si>
    <t>Kauliņkalns-Gulbēre</t>
  </si>
  <si>
    <t>70680120051* 70680120082*</t>
  </si>
  <si>
    <t>B100385000024</t>
  </si>
  <si>
    <t>Autoceļš V850 km 0,000-5,370</t>
  </si>
  <si>
    <t>B100385000025</t>
  </si>
  <si>
    <t>Dzeņumuiža-Reiņi</t>
  </si>
  <si>
    <t>70680090009*</t>
  </si>
  <si>
    <t>70680080007*</t>
  </si>
  <si>
    <t>B100385000026</t>
  </si>
  <si>
    <t>Tīrumskanuļi-Cērpi</t>
  </si>
  <si>
    <t>70680150026*</t>
  </si>
  <si>
    <t>70680150001*</t>
  </si>
  <si>
    <t>70680150005*</t>
  </si>
  <si>
    <t>70680150024*</t>
  </si>
  <si>
    <t>70680150016*</t>
  </si>
  <si>
    <t>70680150012*</t>
  </si>
  <si>
    <t>B100385000027</t>
  </si>
  <si>
    <t>Kapukalns-Skanuļi</t>
  </si>
  <si>
    <t>70680020004*</t>
  </si>
  <si>
    <t>B100385000028</t>
  </si>
  <si>
    <t>Lubeja-Salānieši</t>
  </si>
  <si>
    <t>70680160037*</t>
  </si>
  <si>
    <t>B100385000029</t>
  </si>
  <si>
    <t>Ausmas-Bāreņi</t>
  </si>
  <si>
    <t>70680070264*</t>
  </si>
  <si>
    <t>70680070266* 70680070042*</t>
  </si>
  <si>
    <t>B100385000030</t>
  </si>
  <si>
    <t>Veļķi-Krepšēni</t>
  </si>
  <si>
    <t>70680010074*  70680100097*</t>
  </si>
  <si>
    <t>B100385000031</t>
  </si>
  <si>
    <t>Odi-Trotēni</t>
  </si>
  <si>
    <t>B200385000032</t>
  </si>
  <si>
    <t>Mēdzūla-Gravas muiža-Zapa</t>
  </si>
  <si>
    <t>B100385000033</t>
  </si>
  <si>
    <t>Pasts-Gaidas</t>
  </si>
  <si>
    <t>70680070018*</t>
  </si>
  <si>
    <t>70680070020*</t>
  </si>
  <si>
    <t>70680070331*</t>
  </si>
  <si>
    <t>70680070303*</t>
  </si>
  <si>
    <t>70680070037*</t>
  </si>
  <si>
    <t>B100385000034</t>
  </si>
  <si>
    <t>Zariņi-Grūslēni-Gavārņi</t>
  </si>
  <si>
    <t>70680070094*</t>
  </si>
  <si>
    <t>70680090038*</t>
  </si>
  <si>
    <t>B100385000035</t>
  </si>
  <si>
    <t>Strautiņi-Kukuļi-Sebrece</t>
  </si>
  <si>
    <t>70680110001*</t>
  </si>
  <si>
    <t>70680110002*</t>
  </si>
  <si>
    <t>B100385000036</t>
  </si>
  <si>
    <t>Viduči-Priednieki</t>
  </si>
  <si>
    <t>70680100030*</t>
  </si>
  <si>
    <t>70680100020*</t>
  </si>
  <si>
    <t>B100385000037</t>
  </si>
  <si>
    <t>Ozoli-Šķētes</t>
  </si>
  <si>
    <t>70680120031* 
70680120016* 70680130099*</t>
  </si>
  <si>
    <t>B100385000038</t>
  </si>
  <si>
    <t>Reiņi-Blukas</t>
  </si>
  <si>
    <t>70680080006* 
70680080011* 70680080021* 70680080047*</t>
  </si>
  <si>
    <t>C100385000039</t>
  </si>
  <si>
    <t>Ozolskola-Spirēni</t>
  </si>
  <si>
    <t>C100385000040</t>
  </si>
  <si>
    <t>Randoti-Brieži</t>
  </si>
  <si>
    <t>70680070335 70680070058*</t>
  </si>
  <si>
    <t>C100385000041</t>
  </si>
  <si>
    <t>Stienūzis-Mēdzūla</t>
  </si>
  <si>
    <t>70680100003* 70680100087</t>
  </si>
  <si>
    <t>C100385000042</t>
  </si>
  <si>
    <t>Ceļi gar kaltēm</t>
  </si>
  <si>
    <t>C100385000043</t>
  </si>
  <si>
    <t>Vētras-Jukāni</t>
  </si>
  <si>
    <t>70680010186* 70680010078*</t>
  </si>
  <si>
    <t>C100385000044</t>
  </si>
  <si>
    <t>Ūdri - Inķēni</t>
  </si>
  <si>
    <t>70680110037* 70680110047* 70680110003* 70680110052*</t>
  </si>
  <si>
    <t>Izveidota jauna inženierbūve, tiks reģistrēta līdz 2031.gada 30. decembrim.</t>
  </si>
  <si>
    <t>Madonas novada pašvaldības Lubānas pilsētas ielu saraksts</t>
  </si>
  <si>
    <t>D100382100001</t>
  </si>
  <si>
    <t>Lubāna</t>
  </si>
  <si>
    <t>D100382100002</t>
  </si>
  <si>
    <t>Baložu iela</t>
  </si>
  <si>
    <t>D100382100003</t>
  </si>
  <si>
    <t>Barkavas iela</t>
  </si>
  <si>
    <t>D100382100004</t>
  </si>
  <si>
    <t>D100382100005</t>
  </si>
  <si>
    <t>D100382100006</t>
  </si>
  <si>
    <t xml:space="preserve">Celtnieku iela </t>
  </si>
  <si>
    <t>D100382100007</t>
  </si>
  <si>
    <t>Cesvaines iela</t>
  </si>
  <si>
    <t>Nekustamā īpašuma sastāvs NĪVKIS tiks mainīts līdz 2028. gada 30.decembrim</t>
  </si>
  <si>
    <t>D100382100008</t>
  </si>
  <si>
    <t>D100382100009</t>
  </si>
  <si>
    <t>D100382100010</t>
  </si>
  <si>
    <t>Dzērvenītes iela</t>
  </si>
  <si>
    <t>70580110033*</t>
  </si>
  <si>
    <t>70580110096*</t>
  </si>
  <si>
    <t>70580110103*</t>
  </si>
  <si>
    <t>70580110097*</t>
  </si>
  <si>
    <t>70580110098*</t>
  </si>
  <si>
    <t>70580110099*</t>
  </si>
  <si>
    <t>70580110091*</t>
  </si>
  <si>
    <t>70580110089*</t>
  </si>
  <si>
    <t>70580110087*</t>
  </si>
  <si>
    <t>70580110043*</t>
  </si>
  <si>
    <t>70580110082*</t>
  </si>
  <si>
    <t>D100382100011</t>
  </si>
  <si>
    <t>Ērgalas iela</t>
  </si>
  <si>
    <t>D100382100012</t>
  </si>
  <si>
    <t>Īsā iela</t>
  </si>
  <si>
    <t>D100382100013</t>
  </si>
  <si>
    <t>Jāņa Zābera iela</t>
  </si>
  <si>
    <t>D100382100014</t>
  </si>
  <si>
    <t>D100382100015</t>
  </si>
  <si>
    <t xml:space="preserve">Klānu iela </t>
  </si>
  <si>
    <t>D100382100016</t>
  </si>
  <si>
    <t>D100382100017</t>
  </si>
  <si>
    <t>Latgales iela</t>
  </si>
  <si>
    <t>D100382100018</t>
  </si>
  <si>
    <t>D100382100019</t>
  </si>
  <si>
    <t>Līgo iela</t>
  </si>
  <si>
    <t>D100382100020</t>
  </si>
  <si>
    <t>Lubānas iela</t>
  </si>
  <si>
    <t>D100382100021</t>
  </si>
  <si>
    <t>D100382100022</t>
  </si>
  <si>
    <t>D100382100023</t>
  </si>
  <si>
    <t>Mācītājmuižas iela</t>
  </si>
  <si>
    <t>70130010058*</t>
  </si>
  <si>
    <t>D100382100024</t>
  </si>
  <si>
    <t>Meirānu iela</t>
  </si>
  <si>
    <t>D100382100025</t>
  </si>
  <si>
    <t>D100382100026</t>
  </si>
  <si>
    <t>D100382100027</t>
  </si>
  <si>
    <t>Miera iela</t>
  </si>
  <si>
    <t>D100382100028</t>
  </si>
  <si>
    <t>Oskara Kalpaka iela</t>
  </si>
  <si>
    <t>D100382100029</t>
  </si>
  <si>
    <t>D100382100030</t>
  </si>
  <si>
    <t>Pasta iela</t>
  </si>
  <si>
    <t>D100382100031</t>
  </si>
  <si>
    <t>D100382100032</t>
  </si>
  <si>
    <t>D100382100033</t>
  </si>
  <si>
    <t>Plostnieku iela</t>
  </si>
  <si>
    <t>D100382100034</t>
  </si>
  <si>
    <t>Rugāju iela</t>
  </si>
  <si>
    <t>D100382100035</t>
  </si>
  <si>
    <t>D100382100036</t>
  </si>
  <si>
    <t>D100382100037</t>
  </si>
  <si>
    <t>Sporta iela</t>
  </si>
  <si>
    <t>D100382100038</t>
  </si>
  <si>
    <t>Tilts pār Aivieksti</t>
  </si>
  <si>
    <t>X=665391.51 Y=310025.05</t>
  </si>
  <si>
    <t>D100382100039</t>
  </si>
  <si>
    <t>Tilta iela</t>
  </si>
  <si>
    <t>D100382100040</t>
  </si>
  <si>
    <t>D100382100041</t>
  </si>
  <si>
    <t>Vidzemes iela</t>
  </si>
  <si>
    <t>D100382100042</t>
  </si>
  <si>
    <t>Zemgales iela</t>
  </si>
  <si>
    <t>Madonas novada pašvaldības Madonas pilsētas autoceļu un ielu saraksts</t>
  </si>
  <si>
    <t>D100382200001</t>
  </si>
  <si>
    <t xml:space="preserve">Lazdonas iela </t>
  </si>
  <si>
    <t>Madona</t>
  </si>
  <si>
    <t>Inženierbūve nav reģistrēta sakarā ar nepietiekamiem līdzekļiem pašvaldības budžetā, tiks reģistrēta līdz 2028.gada 30. decembrim.</t>
  </si>
  <si>
    <t>70010011944*</t>
  </si>
  <si>
    <t>D100382200002</t>
  </si>
  <si>
    <t>O. Kalpaka iela</t>
  </si>
  <si>
    <t>70660020200*</t>
  </si>
  <si>
    <t>D100382200003</t>
  </si>
  <si>
    <t>D100382200004</t>
  </si>
  <si>
    <t>D100382200005</t>
  </si>
  <si>
    <t>D100382200006</t>
  </si>
  <si>
    <t>D100382200007</t>
  </si>
  <si>
    <t>Akmeņu iela</t>
  </si>
  <si>
    <t>D100382200008</t>
  </si>
  <si>
    <t>Augu iela</t>
  </si>
  <si>
    <t>D100382200009</t>
  </si>
  <si>
    <t>Ausekļa iela</t>
  </si>
  <si>
    <t>D100382200010</t>
  </si>
  <si>
    <t>D100382200011</t>
  </si>
  <si>
    <t>D100382200012</t>
  </si>
  <si>
    <t>Blaumaņa iela</t>
  </si>
  <si>
    <t>D100382200013</t>
  </si>
  <si>
    <t>D100382200014</t>
  </si>
  <si>
    <t>D100382200015</t>
  </si>
  <si>
    <t>Gaujas iela</t>
  </si>
  <si>
    <t>D100382200016</t>
  </si>
  <si>
    <t xml:space="preserve">Kalna iela </t>
  </si>
  <si>
    <t>D100382200017</t>
  </si>
  <si>
    <t>Riekstu iela</t>
  </si>
  <si>
    <t>D100382200018</t>
  </si>
  <si>
    <t>Rožu  iela</t>
  </si>
  <si>
    <t>D100382200019</t>
  </si>
  <si>
    <t>D100382200020</t>
  </si>
  <si>
    <t>Vaijes iela</t>
  </si>
  <si>
    <t>D100382200021</t>
  </si>
  <si>
    <t>Poruka iela</t>
  </si>
  <si>
    <t>D100382200022</t>
  </si>
  <si>
    <t>Saieta laukums</t>
  </si>
  <si>
    <t>D100382200023</t>
  </si>
  <si>
    <t>D100382200024</t>
  </si>
  <si>
    <t>Smilšu iela</t>
  </si>
  <si>
    <t>D100382200025</t>
  </si>
  <si>
    <t>Tirgus iela</t>
  </si>
  <si>
    <t>D100382200026</t>
  </si>
  <si>
    <t>Valdemāra bulvāris</t>
  </si>
  <si>
    <t>D100382200027</t>
  </si>
  <si>
    <t>Valmieras iela</t>
  </si>
  <si>
    <t>D100382200028</t>
  </si>
  <si>
    <t>70010010132*</t>
  </si>
  <si>
    <t>70010010133*</t>
  </si>
  <si>
    <t>70010010425*</t>
  </si>
  <si>
    <t>D100382200029</t>
  </si>
  <si>
    <t>D100382200030</t>
  </si>
  <si>
    <t>D100382200031</t>
  </si>
  <si>
    <t>D100382200032</t>
  </si>
  <si>
    <t>Alunāna iela</t>
  </si>
  <si>
    <t>D100382200033</t>
  </si>
  <si>
    <t>D100382200034</t>
  </si>
  <si>
    <t>Bērzaunes iela</t>
  </si>
  <si>
    <t>D100382200035</t>
  </si>
  <si>
    <t>Biržu iela</t>
  </si>
  <si>
    <t>D100382200036</t>
  </si>
  <si>
    <t>D100382200037</t>
  </si>
  <si>
    <t>D100382200038</t>
  </si>
  <si>
    <t>70010010800*</t>
  </si>
  <si>
    <t>D100382200039</t>
  </si>
  <si>
    <t>Daugavas iela</t>
  </si>
  <si>
    <t>D100382200040</t>
  </si>
  <si>
    <t>Dumpu iela</t>
  </si>
  <si>
    <t>D100382200041</t>
  </si>
  <si>
    <t>Egļu iela</t>
  </si>
  <si>
    <t>D100382200042</t>
  </si>
  <si>
    <t>Ērgļu iela</t>
  </si>
  <si>
    <t>D100382200043</t>
  </si>
  <si>
    <t>Gaismas iela</t>
  </si>
  <si>
    <t>D100382200044</t>
  </si>
  <si>
    <t>Gaiziņa iela</t>
  </si>
  <si>
    <t>D100382200045</t>
  </si>
  <si>
    <t>D100382200046</t>
  </si>
  <si>
    <t>Ievu iela</t>
  </si>
  <si>
    <t>D100382200047</t>
  </si>
  <si>
    <t>D100382200048</t>
  </si>
  <si>
    <t>Kalēju iela</t>
  </si>
  <si>
    <t>D100382200049</t>
  </si>
  <si>
    <t>D100382200050</t>
  </si>
  <si>
    <t>D100382200051</t>
  </si>
  <si>
    <t>Lienes iela</t>
  </si>
  <si>
    <t>D100382200052</t>
  </si>
  <si>
    <t>Liepājas iela</t>
  </si>
  <si>
    <t>D100382200053</t>
  </si>
  <si>
    <t>Mārtiņa iela</t>
  </si>
  <si>
    <t>D100382200054</t>
  </si>
  <si>
    <t>Mazā Saules iela</t>
  </si>
  <si>
    <t>D100382200055</t>
  </si>
  <si>
    <t>Mednieku iela</t>
  </si>
  <si>
    <t>D100382200056</t>
  </si>
  <si>
    <t>Mēness iela</t>
  </si>
  <si>
    <t>D100382200057</t>
  </si>
  <si>
    <t>D100382200058</t>
  </si>
  <si>
    <t>D100382200059</t>
  </si>
  <si>
    <t>Nagates iela</t>
  </si>
  <si>
    <t>D100382200060</t>
  </si>
  <si>
    <t>D100382200061</t>
  </si>
  <si>
    <t xml:space="preserve">Parka iela </t>
  </si>
  <si>
    <t>D100382200062</t>
  </si>
  <si>
    <t>Patkules iela</t>
  </si>
  <si>
    <t>D100382200063</t>
  </si>
  <si>
    <t>D100382200064</t>
  </si>
  <si>
    <t>D100382200065</t>
  </si>
  <si>
    <t>D100382200066</t>
  </si>
  <si>
    <t>Rēzeknes iela</t>
  </si>
  <si>
    <t>D100382200067</t>
  </si>
  <si>
    <t>Pureņu iela</t>
  </si>
  <si>
    <t>D100382200068</t>
  </si>
  <si>
    <t>Senatnes iela</t>
  </si>
  <si>
    <t>D100382200069</t>
  </si>
  <si>
    <t>Sila iela</t>
  </si>
  <si>
    <t>D100382200070</t>
  </si>
  <si>
    <t>Depo iela</t>
  </si>
  <si>
    <t>D100382200071</t>
  </si>
  <si>
    <t>Slimnīcas iela</t>
  </si>
  <si>
    <t>D100382200072</t>
  </si>
  <si>
    <t>Strauta iela</t>
  </si>
  <si>
    <t>D100382200073</t>
  </si>
  <si>
    <t>Strazdu iela</t>
  </si>
  <si>
    <t>D100382200074</t>
  </si>
  <si>
    <t>D100382200075</t>
  </si>
  <si>
    <t>Ūdens iela</t>
  </si>
  <si>
    <t>70010011669*</t>
  </si>
  <si>
    <t>D100382200076</t>
  </si>
  <si>
    <t>Vestienas iela</t>
  </si>
  <si>
    <t>D100382200077</t>
  </si>
  <si>
    <t>Vidus iela</t>
  </si>
  <si>
    <t>D100382200078</t>
  </si>
  <si>
    <t>D100382200079</t>
  </si>
  <si>
    <t>D100382200080</t>
  </si>
  <si>
    <t>D100382200081</t>
  </si>
  <si>
    <t>Ziedu iela</t>
  </si>
  <si>
    <t>70010010134</t>
  </si>
  <si>
    <t>D100382200082</t>
  </si>
  <si>
    <t>Katrīnas iela</t>
  </si>
  <si>
    <t>70010010098*</t>
  </si>
  <si>
    <t>70010011902*</t>
  </si>
  <si>
    <t>70010011886*</t>
  </si>
  <si>
    <t>70010011898*</t>
  </si>
  <si>
    <t>D100382200083</t>
  </si>
  <si>
    <t>Ceļteku iela</t>
  </si>
  <si>
    <t>70010011948*</t>
  </si>
  <si>
    <t>70010011233*</t>
  </si>
  <si>
    <t>D100382200084</t>
  </si>
  <si>
    <t>Gaujas iela - Kartingu trase</t>
  </si>
  <si>
    <t>70010010628*</t>
  </si>
  <si>
    <t>70010011812*</t>
  </si>
  <si>
    <t>70010011700*</t>
  </si>
  <si>
    <t>70010011846*</t>
  </si>
  <si>
    <t>D100382200085</t>
  </si>
  <si>
    <t>Salas</t>
  </si>
  <si>
    <t>D100382200086</t>
  </si>
  <si>
    <t>Uz Buliņiem līdz Pieterāniem</t>
  </si>
  <si>
    <t>70900060009*</t>
  </si>
  <si>
    <t>70010011649</t>
  </si>
  <si>
    <t>70010012284*</t>
  </si>
  <si>
    <t>70010010634*</t>
  </si>
  <si>
    <t>70900060102*</t>
  </si>
  <si>
    <t>D100382200087</t>
  </si>
  <si>
    <t>Uz Breses kalnu līdz robežai</t>
  </si>
  <si>
    <t>70010012138*</t>
  </si>
  <si>
    <t xml:space="preserve">
70010012043*</t>
  </si>
  <si>
    <t>D100382200088</t>
  </si>
  <si>
    <t>Ceļš uz Vēveriem</t>
  </si>
  <si>
    <t>70010012013* 70010012012*</t>
  </si>
  <si>
    <t>D100382200089</t>
  </si>
  <si>
    <t>Ziemeļu iela</t>
  </si>
  <si>
    <t>D100382200090</t>
  </si>
  <si>
    <t xml:space="preserve">Bezdelīgu iela </t>
  </si>
  <si>
    <t>D100382200091</t>
  </si>
  <si>
    <t>D100382200092</t>
  </si>
  <si>
    <t>D100382200093</t>
  </si>
  <si>
    <t>Lakstīgalu iela</t>
  </si>
  <si>
    <t>Madonas novada pašvaldības Mārcienas pagasta autoceļu un ielu saraksts</t>
  </si>
  <si>
    <t>A100385200001</t>
  </si>
  <si>
    <t>Mārciena</t>
  </si>
  <si>
    <t>Inženierbūve nav reģistrēta sakarā ar nepietiekamiem līdzekļiem pašvaldības budžetā, tiks reģistrēta līdz 2038.gada 30. decembrim.</t>
  </si>
  <si>
    <t>70740040370*</t>
  </si>
  <si>
    <t>70740040369*</t>
  </si>
  <si>
    <t>70740040309*</t>
  </si>
  <si>
    <t>70740040174*</t>
  </si>
  <si>
    <t>70740040151*</t>
  </si>
  <si>
    <t>70740040371*</t>
  </si>
  <si>
    <t>A100385200002</t>
  </si>
  <si>
    <t>A100385200003</t>
  </si>
  <si>
    <t>B100385200004</t>
  </si>
  <si>
    <t>Lāčplēša iela</t>
  </si>
  <si>
    <t>70740040052*</t>
  </si>
  <si>
    <t>70740040186*</t>
  </si>
  <si>
    <t>70740040166*</t>
  </si>
  <si>
    <t>70740040011*</t>
  </si>
  <si>
    <t>70740040023*</t>
  </si>
  <si>
    <t>B100385200005</t>
  </si>
  <si>
    <t xml:space="preserve">Ozolu iela </t>
  </si>
  <si>
    <t>A100385200006</t>
  </si>
  <si>
    <t>Mārciena-Brāži-Āriņi</t>
  </si>
  <si>
    <t>70740040058*</t>
  </si>
  <si>
    <t>70740050010</t>
  </si>
  <si>
    <t>70740060012*</t>
  </si>
  <si>
    <t>70740060001*</t>
  </si>
  <si>
    <t>A100385200007</t>
  </si>
  <si>
    <t>Mārciena-Pilskalns</t>
  </si>
  <si>
    <t>Betona plāksnes</t>
  </si>
  <si>
    <t>A100385200008</t>
  </si>
  <si>
    <t>Pilskalns-Rēķi</t>
  </si>
  <si>
    <t>A100385200009</t>
  </si>
  <si>
    <t>Elksnīši-Subra</t>
  </si>
  <si>
    <t>70740020061*</t>
  </si>
  <si>
    <t>7074002010*</t>
  </si>
  <si>
    <t>A100385200010</t>
  </si>
  <si>
    <t>Baznīca-Greiziņi</t>
  </si>
  <si>
    <t>B100385200011</t>
  </si>
  <si>
    <t>Jaunā muiža-Gardienas</t>
  </si>
  <si>
    <t>B100385200012</t>
  </si>
  <si>
    <t>Smecere-Jurgāres</t>
  </si>
  <si>
    <t>70740010048*</t>
  </si>
  <si>
    <t>70740010144*</t>
  </si>
  <si>
    <t>B100385200013</t>
  </si>
  <si>
    <t>Krievēni - Banderu krustojumums</t>
  </si>
  <si>
    <t>70740030001*</t>
  </si>
  <si>
    <t>70740030004*</t>
  </si>
  <si>
    <t>70740030016*</t>
  </si>
  <si>
    <t>70740030095*</t>
  </si>
  <si>
    <t>70740030062*</t>
  </si>
  <si>
    <t>70740080069*</t>
  </si>
  <si>
    <t>B100385200014</t>
  </si>
  <si>
    <t>Vecā skola-Aglājas</t>
  </si>
  <si>
    <t>70740040352*</t>
  </si>
  <si>
    <t>70740040075*</t>
  </si>
  <si>
    <t>B100385200015</t>
  </si>
  <si>
    <t>V876-Vīvuļi</t>
  </si>
  <si>
    <t>70740040028*</t>
  </si>
  <si>
    <t>70740040056*</t>
  </si>
  <si>
    <t>70740040065*</t>
  </si>
  <si>
    <t>70740040134*</t>
  </si>
  <si>
    <t>70740040342*</t>
  </si>
  <si>
    <t>70740040057*</t>
  </si>
  <si>
    <t>70740080016*</t>
  </si>
  <si>
    <t>70740040194*</t>
  </si>
  <si>
    <t>70740040060*</t>
  </si>
  <si>
    <t>B100385200016</t>
  </si>
  <si>
    <t>Ozolu iela-Silenieki</t>
  </si>
  <si>
    <t>70740040368*</t>
  </si>
  <si>
    <t>70740040408*</t>
  </si>
  <si>
    <t>B100385200017</t>
  </si>
  <si>
    <t>Atceres-Kalna Bieles</t>
  </si>
  <si>
    <t>70740080027*</t>
  </si>
  <si>
    <t>B100385200018</t>
  </si>
  <si>
    <t>Graulītes-Dreimaņi</t>
  </si>
  <si>
    <t>70740050017*</t>
  </si>
  <si>
    <t>70740050013*</t>
  </si>
  <si>
    <t>70740050021*</t>
  </si>
  <si>
    <t>B100385200019</t>
  </si>
  <si>
    <t>Rubeņi  - Admenes - Dilīši</t>
  </si>
  <si>
    <t>70740030003*</t>
  </si>
  <si>
    <t>70740030055*</t>
  </si>
  <si>
    <t>70740030005*</t>
  </si>
  <si>
    <t>B100385200020</t>
  </si>
  <si>
    <t>Dadzīši-Veckalsnava</t>
  </si>
  <si>
    <t>Y/E 627767.787</t>
  </si>
  <si>
    <t>tilts pār Aronu</t>
  </si>
  <si>
    <t>X/N 290270.859</t>
  </si>
  <si>
    <t>70740080022*</t>
  </si>
  <si>
    <t>70740080007*</t>
  </si>
  <si>
    <t>70740080024*</t>
  </si>
  <si>
    <t>70740080032*</t>
  </si>
  <si>
    <t>B100385200021</t>
  </si>
  <si>
    <t>Brāži-Mazlāči</t>
  </si>
  <si>
    <t>70740060023*</t>
  </si>
  <si>
    <t>70740060025*</t>
  </si>
  <si>
    <t>70740060040*</t>
  </si>
  <si>
    <t>B100385200022</t>
  </si>
  <si>
    <t>Brāži-Putniņi</t>
  </si>
  <si>
    <t>70740060039*</t>
  </si>
  <si>
    <t>70740060017*</t>
  </si>
  <si>
    <t>B100385200023</t>
  </si>
  <si>
    <t>Stradukalns-Dravnieki</t>
  </si>
  <si>
    <t>B100385200024</t>
  </si>
  <si>
    <t>Sūņu skola-Sūņi</t>
  </si>
  <si>
    <t>70740030087*</t>
  </si>
  <si>
    <t>70740030109*</t>
  </si>
  <si>
    <t>B100385200025</t>
  </si>
  <si>
    <t>Virši-Bērzaunes pagasta robeža</t>
  </si>
  <si>
    <t>B100385200026</t>
  </si>
  <si>
    <t>Līči-Stūraiņi</t>
  </si>
  <si>
    <t>70740030024*</t>
  </si>
  <si>
    <t>70740030057*</t>
  </si>
  <si>
    <t xml:space="preserve">70740020003*
</t>
  </si>
  <si>
    <t>70740030088*</t>
  </si>
  <si>
    <t>70740030022*</t>
  </si>
  <si>
    <t>B100385200027</t>
  </si>
  <si>
    <t>Dadzīši-Tīnūžu Ceplis</t>
  </si>
  <si>
    <t>70740080006*</t>
  </si>
  <si>
    <t>70740080017*</t>
  </si>
  <si>
    <t>70740080041*</t>
  </si>
  <si>
    <t>70740080067*</t>
  </si>
  <si>
    <t>70740080042*</t>
  </si>
  <si>
    <t>B100385200028</t>
  </si>
  <si>
    <t>Kalniņi-Bāliņi</t>
  </si>
  <si>
    <t>70740030052*</t>
  </si>
  <si>
    <t>70740030122*</t>
  </si>
  <si>
    <t>70740030030*</t>
  </si>
  <si>
    <t>C100385200029</t>
  </si>
  <si>
    <t>Dubultēni-Maļģēni</t>
  </si>
  <si>
    <t>70740020072*</t>
  </si>
  <si>
    <t>70740020026*</t>
  </si>
  <si>
    <t>70740020024*</t>
  </si>
  <si>
    <t>C100385200030</t>
  </si>
  <si>
    <t>V915-Plauci</t>
  </si>
  <si>
    <t>70740020082*</t>
  </si>
  <si>
    <t>70740020002*</t>
  </si>
  <si>
    <t>C100385200031</t>
  </si>
  <si>
    <t>V915-Lejas Asmi</t>
  </si>
  <si>
    <t>C100385200032</t>
  </si>
  <si>
    <t>Mālnieki-Spridzēni</t>
  </si>
  <si>
    <t>70740030031*</t>
  </si>
  <si>
    <t>C100385200033</t>
  </si>
  <si>
    <t>Liepnieki-Kundziņi</t>
  </si>
  <si>
    <t>C100385200034</t>
  </si>
  <si>
    <t>Kalnāres-Cīruļi</t>
  </si>
  <si>
    <t>70740030043*</t>
  </si>
  <si>
    <t>C100385200035</t>
  </si>
  <si>
    <t>Viršu krustojums-Autogarāžas</t>
  </si>
  <si>
    <t>Betons</t>
  </si>
  <si>
    <t>70740040049*</t>
  </si>
  <si>
    <t>70740040036*</t>
  </si>
  <si>
    <t>70740040185*</t>
  </si>
  <si>
    <t>C100385200036</t>
  </si>
  <si>
    <t>Oliņi-Ķepši</t>
  </si>
  <si>
    <t>70740080033*</t>
  </si>
  <si>
    <t>C100385200037</t>
  </si>
  <si>
    <t>Lapāres-Zeltiņi</t>
  </si>
  <si>
    <t>70740010032*</t>
  </si>
  <si>
    <t>70740010014*</t>
  </si>
  <si>
    <t>C100385200038</t>
  </si>
  <si>
    <t>V896-Vāveres</t>
  </si>
  <si>
    <t>70740010024*</t>
  </si>
  <si>
    <t>C100385200039</t>
  </si>
  <si>
    <t>P37-Grantiņi-Zvirgzdijas</t>
  </si>
  <si>
    <t>70740010065*</t>
  </si>
  <si>
    <t>70740010040*</t>
  </si>
  <si>
    <t>C100385200040</t>
  </si>
  <si>
    <t>Viršu krustojums-mācību centrs</t>
  </si>
  <si>
    <t>C100385200041</t>
  </si>
  <si>
    <t>Patmalnieki-Plienijas</t>
  </si>
  <si>
    <t>C100385200042</t>
  </si>
  <si>
    <t>Mārciena-Labones ezers</t>
  </si>
  <si>
    <t>70740040127*</t>
  </si>
  <si>
    <t>70740040400*</t>
  </si>
  <si>
    <t>70740040383*</t>
  </si>
  <si>
    <t>70740040375*</t>
  </si>
  <si>
    <t>70740040079*</t>
  </si>
  <si>
    <t>Madonas novada pašvaldības Mētrienas pagasta autoceļu un ielu saraksts</t>
  </si>
  <si>
    <t>A100385300001</t>
  </si>
  <si>
    <t>Mētriena</t>
  </si>
  <si>
    <t>Inženierbūve nav reģistrēta sakarā ar nepietiekamiem līdzekļiem pašvaldības budžetā, tiks reģistrēta līdz 2035.gada 30. decembrim.</t>
  </si>
  <si>
    <t>A100385300002</t>
  </si>
  <si>
    <t>A100385300003</t>
  </si>
  <si>
    <t>A100385300004</t>
  </si>
  <si>
    <t>Odzienas iela</t>
  </si>
  <si>
    <t>A100385300005</t>
  </si>
  <si>
    <t>Dimantu iela</t>
  </si>
  <si>
    <t>*70760080321 *70760080320 *70760080319</t>
  </si>
  <si>
    <t>A100385300006</t>
  </si>
  <si>
    <t>Lielnieki-Cīrulīši</t>
  </si>
  <si>
    <t>A100385300007</t>
  </si>
  <si>
    <t>Autoceļš V903 km 0,000-4,330</t>
  </si>
  <si>
    <t>A100385300008</t>
  </si>
  <si>
    <t xml:space="preserve">Pamati-Mežļauži </t>
  </si>
  <si>
    <t>*70760060012 *70760060084</t>
  </si>
  <si>
    <t>A100385300009</t>
  </si>
  <si>
    <t>Ļūmāni-Ļaudonas pagasts</t>
  </si>
  <si>
    <t>A100385300010</t>
  </si>
  <si>
    <t>Jurjāni-Plēšas</t>
  </si>
  <si>
    <t>*70760060019 *70760060002 *70760060024 *70760060104 *70760060132</t>
  </si>
  <si>
    <t>*70760060020 *70760060008 *70760060001 *70760060009 *70760060004 *70760020110 *70760020051 *70760020094 *70760020052 *70760020054</t>
  </si>
  <si>
    <t>A100385300011</t>
  </si>
  <si>
    <t>Mētrienas iela</t>
  </si>
  <si>
    <t>B100385300012</t>
  </si>
  <si>
    <t>Mētru iela</t>
  </si>
  <si>
    <t>B100385300013</t>
  </si>
  <si>
    <t>Tautas iela</t>
  </si>
  <si>
    <t>B100385300014</t>
  </si>
  <si>
    <t>Krastu iela</t>
  </si>
  <si>
    <t>B100385300015</t>
  </si>
  <si>
    <t>Teiku iela</t>
  </si>
  <si>
    <t>B100385300016</t>
  </si>
  <si>
    <t>*70760080416 *70760080333 *70760080334 *70760080362 *70760080446 *70760080406 *70760080392</t>
  </si>
  <si>
    <t>B100385300017</t>
  </si>
  <si>
    <t>Mehāniskās darbnīcas-Bebri</t>
  </si>
  <si>
    <t>*70760060143 *70760060003 *70760060075 *70760060069 *70760060068 *70760060067 *70760060026 *70760060044 *70760060067 *70760060118 *70760060029 *70760060015 *70760060119</t>
  </si>
  <si>
    <t>B100385300018</t>
  </si>
  <si>
    <t>Salas-Aizpurves</t>
  </si>
  <si>
    <t>B100385300019</t>
  </si>
  <si>
    <t>Robežnieki-Ezermalas</t>
  </si>
  <si>
    <t>70760080351 *70760080082</t>
  </si>
  <si>
    <t>B100385300020</t>
  </si>
  <si>
    <t>Kapi-Lejasrubeņi</t>
  </si>
  <si>
    <t>*70760090088 *70760090107 *70760090075 *70760090131 *70760090002 *70760090033 *70760090101 *70760090022 *70760090027 *70760090048 *70760090016 *70760090136 *70760090047 *70760090030 *70760090070 *70760090137 *70760090139 *70760090098</t>
  </si>
  <si>
    <t>B100385300021</t>
  </si>
  <si>
    <t>Darbnīcu iela</t>
  </si>
  <si>
    <t>70760080480* 70760080401* 70760080341* 70760080314* 70760080214* 70760080356* 70760080043*</t>
  </si>
  <si>
    <t>B100385300022</t>
  </si>
  <si>
    <t>Silieši-Kaktiņi</t>
  </si>
  <si>
    <t>*70760080001 *70760080226 *70760080225 *70760080227 *70760080229 *70760080077 *70760080232 *70760080231 *70760080166 *70760080230 *70760080370 *70760080223 *70760080004 *70760080016</t>
  </si>
  <si>
    <t>B100385300023</t>
  </si>
  <si>
    <t>Alejas-Ozolkalns</t>
  </si>
  <si>
    <t>*70760080093 *70760080010 *70760080154 *70760080439 *70760080374 *70760080354</t>
  </si>
  <si>
    <t>B100385300024</t>
  </si>
  <si>
    <t>Ozolkalns-Sildi</t>
  </si>
  <si>
    <t>B100385300025</t>
  </si>
  <si>
    <t>Āriņi-Jaunāres</t>
  </si>
  <si>
    <t>*70760080008 *70760080220 *70760080036 *70760080430 *70760080398 *70760080122 *70760080340</t>
  </si>
  <si>
    <t>*70760080097 *70760080019 *70760080049 *70760080483 *70760080118 *70760080119 *70760080400 *70760080139 *70760060032 *70760060136 *70760060138</t>
  </si>
  <si>
    <t>*70760060017 *70760060033</t>
  </si>
  <si>
    <t>B100385300026</t>
  </si>
  <si>
    <t>Purmalas-Rubeņi</t>
  </si>
  <si>
    <t>*70760040031 *70760040004 *70760040016 *70760040018 *70760040002 *70760040003</t>
  </si>
  <si>
    <t>B100385300027</t>
  </si>
  <si>
    <t>Krustiņi-Grotes</t>
  </si>
  <si>
    <t xml:space="preserve">*70760020062 *70760020080 *70760020060 *70760020047 *70760020092 *70760020021 *70760020045 </t>
  </si>
  <si>
    <t>B100385300028</t>
  </si>
  <si>
    <t>Ceplis-Zušupe-Līcīši-Silieši</t>
  </si>
  <si>
    <t>*70760030035 *70760030024 *70760030042 *70760030008 *70760030035 *70760030021 *70760020109 *70760020031 *70760020065 *70760020043 *70760020098 *70760020072 *70760020073 *70760020081 *70760020029 *70760020021 *70760020106 *70760020099 *70760020018 *70760020100 *70760020123 *70760030009 *70760030015 *70760030035 *70760030019</t>
  </si>
  <si>
    <t>B100385300029</t>
  </si>
  <si>
    <t>Alžāni-Vilciņi</t>
  </si>
  <si>
    <t>*70760020016 *70760020096 *70760020005 *70760020109 *70760020031 *70760020017 *70760020023 *70760020001 *70760020003 *70760020019 *70760020089 *70760020079</t>
  </si>
  <si>
    <t>B100385300030</t>
  </si>
  <si>
    <t>Āriņi-Dreimaņi</t>
  </si>
  <si>
    <t>*70760080036 *70760080097 *70760080268 *70760080217 *70760080098 *70760080115</t>
  </si>
  <si>
    <t>C100385300031</t>
  </si>
  <si>
    <t>Ezeriņi - Zviedrukalns</t>
  </si>
  <si>
    <t>70760090072  *70760090053</t>
  </si>
  <si>
    <t>*70760090126 *70760090008</t>
  </si>
  <si>
    <t>C100385300032</t>
  </si>
  <si>
    <t>Lieplejas-Vīnkalni</t>
  </si>
  <si>
    <t>*70760080081 *70760080044</t>
  </si>
  <si>
    <t>C100385300033</t>
  </si>
  <si>
    <t>Bangas-Aizjošnieki</t>
  </si>
  <si>
    <t>*70760050023 *70760050003 *70760050101 *70760050100 *70760050122 *70760050067 *70760050018</t>
  </si>
  <si>
    <t>C100385300034</t>
  </si>
  <si>
    <t>Silmalas-Jošmaļi</t>
  </si>
  <si>
    <t xml:space="preserve">*70760020042 *70760020057 *70760020125 *70760020105 *70760020009 *70760020026 </t>
  </si>
  <si>
    <t>C100385300035</t>
  </si>
  <si>
    <t>Liepāres-Saulgrieži</t>
  </si>
  <si>
    <t>*70760020032 *70760020087 *70760020071</t>
  </si>
  <si>
    <t>C100385300036</t>
  </si>
  <si>
    <t>Āres-Dobupi</t>
  </si>
  <si>
    <t xml:space="preserve">*70760040017 *70760040119 *70760040007 *70760040060 *70760040058 *70760040043 *70760040059 *70760040028 </t>
  </si>
  <si>
    <t>C100385300037</t>
  </si>
  <si>
    <t>Kārkliņi-Gravāni</t>
  </si>
  <si>
    <t>*70760080142 *70760080297 *70760080102 *70760080064</t>
  </si>
  <si>
    <t>C100385300038</t>
  </si>
  <si>
    <t>Dreimaņi-Rožkalni</t>
  </si>
  <si>
    <t>*70760080021</t>
  </si>
  <si>
    <t>C100385300039</t>
  </si>
  <si>
    <t>Rāksala vecais</t>
  </si>
  <si>
    <t>Madonas novada Ošupes pagasta pašvaldības autoceļu un ielu saraksts</t>
  </si>
  <si>
    <t>A100385400001</t>
  </si>
  <si>
    <t>Degumnieki</t>
  </si>
  <si>
    <t>Inženierbūve nav reģistrēta sakarā ar nepietiekamiem līdzekļiem pašvaldības budžetā, tiks reģistrēta līdz 2027.gada 30. decembrim.</t>
  </si>
  <si>
    <t>A100385400002</t>
  </si>
  <si>
    <t xml:space="preserve">Šķērsiela </t>
  </si>
  <si>
    <t>A100385400003</t>
  </si>
  <si>
    <t>Šķūņu iela</t>
  </si>
  <si>
    <t>A100385400004</t>
  </si>
  <si>
    <t xml:space="preserve">Ābeļu iela </t>
  </si>
  <si>
    <t>A100385400005</t>
  </si>
  <si>
    <t xml:space="preserve">Stadiona iela </t>
  </si>
  <si>
    <t>A100385400006</t>
  </si>
  <si>
    <t xml:space="preserve">Lazdu iela </t>
  </si>
  <si>
    <t>A100385400007</t>
  </si>
  <si>
    <t xml:space="preserve">Līvānu iela </t>
  </si>
  <si>
    <t>70820130064*</t>
  </si>
  <si>
    <t>70820130069*</t>
  </si>
  <si>
    <t>70820130086*</t>
  </si>
  <si>
    <t>70820130117*</t>
  </si>
  <si>
    <t>70820130121*</t>
  </si>
  <si>
    <t>70820130068*</t>
  </si>
  <si>
    <t>70820130111*</t>
  </si>
  <si>
    <t>70820130052*</t>
  </si>
  <si>
    <t>70820130113*</t>
  </si>
  <si>
    <t>70820130081*</t>
  </si>
  <si>
    <t>70820130007*</t>
  </si>
  <si>
    <t>70820130039*</t>
  </si>
  <si>
    <t>A100385400008</t>
  </si>
  <si>
    <t>70820130196*</t>
  </si>
  <si>
    <t>70820130308*</t>
  </si>
  <si>
    <t>70820130163*</t>
  </si>
  <si>
    <t>70820130164*</t>
  </si>
  <si>
    <t>70820130019*</t>
  </si>
  <si>
    <t>70820130307*</t>
  </si>
  <si>
    <t>A100385400009</t>
  </si>
  <si>
    <t>A100385400010</t>
  </si>
  <si>
    <t xml:space="preserve">Oškalna iela </t>
  </si>
  <si>
    <t>Ošupe</t>
  </si>
  <si>
    <t>A100385400011</t>
  </si>
  <si>
    <t>70820040019*</t>
  </si>
  <si>
    <t>70820040015*</t>
  </si>
  <si>
    <t>70820040179*</t>
  </si>
  <si>
    <t>70820040029*</t>
  </si>
  <si>
    <t>70820040022*</t>
  </si>
  <si>
    <t>70820040007*</t>
  </si>
  <si>
    <t>A100385400012</t>
  </si>
  <si>
    <t xml:space="preserve">Torņa iela </t>
  </si>
  <si>
    <t>A100385400013</t>
  </si>
  <si>
    <t xml:space="preserve">Prodi- Veckalniņi </t>
  </si>
  <si>
    <t>B100385400014</t>
  </si>
  <si>
    <t xml:space="preserve">Iecelnieki - Tropi </t>
  </si>
  <si>
    <t>B100385400015</t>
  </si>
  <si>
    <t>Kalnagals - Ikaunieki</t>
  </si>
  <si>
    <t>B100385400016</t>
  </si>
  <si>
    <t xml:space="preserve">Kalnagals - Ozoliņi </t>
  </si>
  <si>
    <t>B100385400017</t>
  </si>
  <si>
    <t xml:space="preserve">Skaidas- Stūrmežs- Kārklaiņi </t>
  </si>
  <si>
    <t>70820110009*</t>
  </si>
  <si>
    <t>70820110045*</t>
  </si>
  <si>
    <t>B100385400018</t>
  </si>
  <si>
    <t xml:space="preserve">Rupsala - Raudupe </t>
  </si>
  <si>
    <t>B100385400019</t>
  </si>
  <si>
    <t xml:space="preserve">Vējavas - Smaudži </t>
  </si>
  <si>
    <t>B100385400020</t>
  </si>
  <si>
    <t>Tarenieku ferma- Lubāna ezers</t>
  </si>
  <si>
    <t>B100385400021</t>
  </si>
  <si>
    <t xml:space="preserve">Noras - Zemgaļi </t>
  </si>
  <si>
    <t>B100385400022</t>
  </si>
  <si>
    <t xml:space="preserve">Rožkalni- Asni </t>
  </si>
  <si>
    <t>70820130080*</t>
  </si>
  <si>
    <t>70820130053*</t>
  </si>
  <si>
    <t>B100385400023</t>
  </si>
  <si>
    <t xml:space="preserve">Ozoliņi - Kozsalas </t>
  </si>
  <si>
    <t>70820080007*</t>
  </si>
  <si>
    <t>70820090059* 70820090058* 70820090053* 70820090060*</t>
  </si>
  <si>
    <t>B100385400024</t>
  </si>
  <si>
    <t>Degumnieki- Lubāna ezers</t>
  </si>
  <si>
    <t>70820130082*</t>
  </si>
  <si>
    <t>B100385400025</t>
  </si>
  <si>
    <t>Āboliņi -Tarenieku ferma</t>
  </si>
  <si>
    <t>70820060088*</t>
  </si>
  <si>
    <t>B100385400026</t>
  </si>
  <si>
    <t xml:space="preserve">Vārpas - Smiltnieki </t>
  </si>
  <si>
    <t>C100385400027</t>
  </si>
  <si>
    <t xml:space="preserve">Ezernieki- Sūkņu stacija </t>
  </si>
  <si>
    <t>C100385400028</t>
  </si>
  <si>
    <t xml:space="preserve">Burkāni - Cerības </t>
  </si>
  <si>
    <t>70820090062*</t>
  </si>
  <si>
    <t>70820090063*</t>
  </si>
  <si>
    <t>C100385400029</t>
  </si>
  <si>
    <t xml:space="preserve">Stūrmežs- Egles </t>
  </si>
  <si>
    <t>C100385400030</t>
  </si>
  <si>
    <t xml:space="preserve">O.Kalpaka Liepsalu pievedceļš	</t>
  </si>
  <si>
    <t>70820110008*</t>
  </si>
  <si>
    <t>70820110051*</t>
  </si>
  <si>
    <t>C100385400031</t>
  </si>
  <si>
    <t xml:space="preserve">Lidlauka pievadceļš </t>
  </si>
  <si>
    <t>C100385400032</t>
  </si>
  <si>
    <t xml:space="preserve">Rupsala- Melnsalas </t>
  </si>
  <si>
    <t>70820040252*</t>
  </si>
  <si>
    <t>70820040253*</t>
  </si>
  <si>
    <t>C100385400033</t>
  </si>
  <si>
    <t xml:space="preserve">Rāmavas- Tīrumnieki </t>
  </si>
  <si>
    <t>70820040131*</t>
  </si>
  <si>
    <t>C100385400034</t>
  </si>
  <si>
    <t xml:space="preserve">Zavicki - Straumes </t>
  </si>
  <si>
    <t>C100385400035</t>
  </si>
  <si>
    <t>Tropu siena miltu cehs</t>
  </si>
  <si>
    <t>C100385400036</t>
  </si>
  <si>
    <t xml:space="preserve">Ezera pievedceļš Tropos </t>
  </si>
  <si>
    <t>C100385400037</t>
  </si>
  <si>
    <t xml:space="preserve">Ozoliņi- Kamoļi </t>
  </si>
  <si>
    <t>70820080089*</t>
  </si>
  <si>
    <t>70820080037*</t>
  </si>
  <si>
    <t>C100385400038</t>
  </si>
  <si>
    <t xml:space="preserve">Vīksniņas- Lapiņas- Jaunlubāna </t>
  </si>
  <si>
    <t>C100385400039</t>
  </si>
  <si>
    <t xml:space="preserve">Darmaļi- Siliņi </t>
  </si>
  <si>
    <t>C100385400040</t>
  </si>
  <si>
    <t>Mūrnieki - Zītari</t>
  </si>
  <si>
    <t>C100385400041</t>
  </si>
  <si>
    <t xml:space="preserve">Pilsnieki- Tiltiņi </t>
  </si>
  <si>
    <t>C100385400042</t>
  </si>
  <si>
    <t xml:space="preserve">Āboliņi- Zvidzes ezers </t>
  </si>
  <si>
    <t>C100385400043</t>
  </si>
  <si>
    <t xml:space="preserve">Izkaušāres- Ošsalas </t>
  </si>
  <si>
    <t>C100385400044</t>
  </si>
  <si>
    <t xml:space="preserve">Vidzemnieki - Augstāsala </t>
  </si>
  <si>
    <t>C100385400045</t>
  </si>
  <si>
    <t>Lidlauka pievadceļš- Grāvmalas</t>
  </si>
  <si>
    <t>C100385400046</t>
  </si>
  <si>
    <t xml:space="preserve">Degumnieku Z apvadceļš </t>
  </si>
  <si>
    <t>C100385400047</t>
  </si>
  <si>
    <t>Degumnieku D apvedceļš</t>
  </si>
  <si>
    <t>C100385400048</t>
  </si>
  <si>
    <t>V843 - Cerības</t>
  </si>
  <si>
    <t>70820040045*</t>
  </si>
  <si>
    <t>Madonas novada pašvaldības Praulienas pagasta autoceļu un ielu saraksts</t>
  </si>
  <si>
    <t>A100385500001</t>
  </si>
  <si>
    <t>Prauliena</t>
  </si>
  <si>
    <t>A100385500002</t>
  </si>
  <si>
    <t>Prauliena – Saulgoži</t>
  </si>
  <si>
    <t>A100385500003</t>
  </si>
  <si>
    <t>Alejas iela</t>
  </si>
  <si>
    <t>A100385500004</t>
  </si>
  <si>
    <t>70860100157*</t>
  </si>
  <si>
    <t>70860100154*</t>
  </si>
  <si>
    <t>70860100089*</t>
  </si>
  <si>
    <t>70860100158*</t>
  </si>
  <si>
    <t>70860100066*</t>
  </si>
  <si>
    <t>70860100090*</t>
  </si>
  <si>
    <t>70860100042*</t>
  </si>
  <si>
    <t>70860100155*</t>
  </si>
  <si>
    <t>70860100062*</t>
  </si>
  <si>
    <t>70860100050*</t>
  </si>
  <si>
    <t>70860100051*</t>
  </si>
  <si>
    <t>70860100156*</t>
  </si>
  <si>
    <t>70860100073*</t>
  </si>
  <si>
    <t>70860100153*</t>
  </si>
  <si>
    <t>70860100187*</t>
  </si>
  <si>
    <t>A100385500005</t>
  </si>
  <si>
    <t>70860100033*</t>
  </si>
  <si>
    <t>70860100129*</t>
  </si>
  <si>
    <t>70860100162*</t>
  </si>
  <si>
    <t>A100385500006</t>
  </si>
  <si>
    <t xml:space="preserve">70860100143* 70860100070* 70860100088* </t>
  </si>
  <si>
    <t>A100385500007</t>
  </si>
  <si>
    <t>A100385500008</t>
  </si>
  <si>
    <t>Lazdona 1</t>
  </si>
  <si>
    <t>A100385500009</t>
  </si>
  <si>
    <t>Tauvas iela</t>
  </si>
  <si>
    <t>70860090015*</t>
  </si>
  <si>
    <t>70860090051*</t>
  </si>
  <si>
    <t>70860090013*</t>
  </si>
  <si>
    <t>70860090113*</t>
  </si>
  <si>
    <t>70860090133*</t>
  </si>
  <si>
    <t>70860090049*</t>
  </si>
  <si>
    <t>70860090116*</t>
  </si>
  <si>
    <t>A100385500010</t>
  </si>
  <si>
    <t>Lazdona – Prauliena</t>
  </si>
  <si>
    <t>A100385500011</t>
  </si>
  <si>
    <t>Prauliena - Vecpoļi</t>
  </si>
  <si>
    <t>70860060099*</t>
  </si>
  <si>
    <t>A100385500012</t>
  </si>
  <si>
    <t>Ozolsētas - Prauliena</t>
  </si>
  <si>
    <t>70860100025*</t>
  </si>
  <si>
    <t>A100385500013</t>
  </si>
  <si>
    <t>Muižnieki-Saulrieti</t>
  </si>
  <si>
    <t>70660030003*</t>
  </si>
  <si>
    <t>B100385500014</t>
  </si>
  <si>
    <t>B100385500015</t>
  </si>
  <si>
    <t>B100385500016</t>
  </si>
  <si>
    <t>Naudas iela</t>
  </si>
  <si>
    <t>70860100230*</t>
  </si>
  <si>
    <t>B100385500017</t>
  </si>
  <si>
    <t>Silnieki – Dobsala</t>
  </si>
  <si>
    <t>B100385500018</t>
  </si>
  <si>
    <t>Dravsalas – Auziņas – Trākši</t>
  </si>
  <si>
    <t>B100385500019</t>
  </si>
  <si>
    <t>Trākši – Sili</t>
  </si>
  <si>
    <t>B100385500020</t>
  </si>
  <si>
    <t>Sili - Zosupi</t>
  </si>
  <si>
    <t>70860180012*</t>
  </si>
  <si>
    <t>B100385500021</t>
  </si>
  <si>
    <t>Gailīši-Vīksneskalns</t>
  </si>
  <si>
    <t>70860150090*</t>
  </si>
  <si>
    <t>70860150003*</t>
  </si>
  <si>
    <t>70860150023*</t>
  </si>
  <si>
    <t>70860150140*</t>
  </si>
  <si>
    <t>70860150002*</t>
  </si>
  <si>
    <t>B100385500022</t>
  </si>
  <si>
    <t>Caunes – Kamatauskas</t>
  </si>
  <si>
    <t>B100385500023</t>
  </si>
  <si>
    <t>Vistiņlejas kapu pievedceļš</t>
  </si>
  <si>
    <t>70860050120*</t>
  </si>
  <si>
    <t>70860050019*</t>
  </si>
  <si>
    <t>B100385500024</t>
  </si>
  <si>
    <t>Mārcienas pagasts – Baltiņi</t>
  </si>
  <si>
    <t>B100385500025</t>
  </si>
  <si>
    <t>Lūza-Žūkļa purvs</t>
  </si>
  <si>
    <t>tilts pāri Riebas upei</t>
  </si>
  <si>
    <t>y=304377.53
x=645292.94</t>
  </si>
  <si>
    <t>tilts pāri Kujas upei</t>
  </si>
  <si>
    <t>y=304490.68
x=648062.45</t>
  </si>
  <si>
    <t>B100385500026</t>
  </si>
  <si>
    <t>Dzintari – Salas</t>
  </si>
  <si>
    <t>70860050002*</t>
  </si>
  <si>
    <t>70860050044*</t>
  </si>
  <si>
    <t>70860050071*</t>
  </si>
  <si>
    <t>B100385500027</t>
  </si>
  <si>
    <t>Lejasziedupe-Lūza-Dravsalas</t>
  </si>
  <si>
    <t>70860020008*</t>
  </si>
  <si>
    <t>B100385500028</t>
  </si>
  <si>
    <t>Noras-Žīvenes-Lācīši</t>
  </si>
  <si>
    <t>B100385500029</t>
  </si>
  <si>
    <t>Trakši – Dešupi</t>
  </si>
  <si>
    <t>70860140020*</t>
  </si>
  <si>
    <t>B100385500030</t>
  </si>
  <si>
    <t>Pļavnieki-Vēri-Dupeni</t>
  </si>
  <si>
    <t>B100385500031</t>
  </si>
  <si>
    <t>Noras - Meimurti-Vintieši</t>
  </si>
  <si>
    <t>70860160194*</t>
  </si>
  <si>
    <t>70860160017*</t>
  </si>
  <si>
    <t>B100385500032</t>
  </si>
  <si>
    <t>Silnieki – Rūķi</t>
  </si>
  <si>
    <t>70860060091*</t>
  </si>
  <si>
    <t>70860060053*</t>
  </si>
  <si>
    <t>70860060096*</t>
  </si>
  <si>
    <t>70860060048*</t>
  </si>
  <si>
    <t>70860060132*</t>
  </si>
  <si>
    <t>70860060131*</t>
  </si>
  <si>
    <t>70860060130*</t>
  </si>
  <si>
    <t>70860060087*</t>
  </si>
  <si>
    <t>70860060040*</t>
  </si>
  <si>
    <t>70860060066*</t>
  </si>
  <si>
    <t>70860060064*</t>
  </si>
  <si>
    <t>70860060027*</t>
  </si>
  <si>
    <t>B100385500033</t>
  </si>
  <si>
    <t>Lazdiņas – Zvirgzdupe</t>
  </si>
  <si>
    <t>B100385500034</t>
  </si>
  <si>
    <t>Sīļkalni – Baltais purvs</t>
  </si>
  <si>
    <t>70860100040*</t>
  </si>
  <si>
    <t>B100385500035</t>
  </si>
  <si>
    <t>Autoceļš V891 km 0,000-2,190</t>
  </si>
  <si>
    <t>70860050090001</t>
  </si>
  <si>
    <t>B100385500036</t>
  </si>
  <si>
    <t>Autoceļš V892 km 0,000-6,610</t>
  </si>
  <si>
    <t xml:space="preserve">	70860160080001</t>
  </si>
  <si>
    <t>B100385500037</t>
  </si>
  <si>
    <t>Skaistkalnu iela</t>
  </si>
  <si>
    <t>70860090064*</t>
  </si>
  <si>
    <t>70860090136*</t>
  </si>
  <si>
    <t>70860090132*</t>
  </si>
  <si>
    <t>70860090120*</t>
  </si>
  <si>
    <t>70860090125*</t>
  </si>
  <si>
    <t>70860090131*</t>
  </si>
  <si>
    <t>70860090127*</t>
  </si>
  <si>
    <t>70860090121*</t>
  </si>
  <si>
    <t>70860090124*</t>
  </si>
  <si>
    <t>70860090130*</t>
  </si>
  <si>
    <t>70860090128*</t>
  </si>
  <si>
    <t>70860090123*</t>
  </si>
  <si>
    <t>70860090122*</t>
  </si>
  <si>
    <t>70860090129*</t>
  </si>
  <si>
    <t>B100385500038</t>
  </si>
  <si>
    <t>Lazdonīša ceļš</t>
  </si>
  <si>
    <t>70860090093*</t>
  </si>
  <si>
    <t>C100385500039</t>
  </si>
  <si>
    <t>Glāznieki – Vizbuļi</t>
  </si>
  <si>
    <t>70860180006*</t>
  </si>
  <si>
    <t>70860180022*</t>
  </si>
  <si>
    <t>Madonas novada pašvaldības Sarkaņu pagasta pašvaldības autoceļu un ielu saraksts</t>
  </si>
  <si>
    <r>
      <t>divlīmeņu nobrauktuves brauktuves laukums (m</t>
    </r>
    <r>
      <rPr>
        <vertAlign val="super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>)</t>
    </r>
  </si>
  <si>
    <t>A100385600001</t>
  </si>
  <si>
    <t>J.Ramaņa iela</t>
  </si>
  <si>
    <t>Biksēre</t>
  </si>
  <si>
    <t>70900040184*</t>
  </si>
  <si>
    <t>A100385600002</t>
  </si>
  <si>
    <t>A100385600003</t>
  </si>
  <si>
    <t>Rīta iela</t>
  </si>
  <si>
    <t>Sarkaņi</t>
  </si>
  <si>
    <t>A100385600004</t>
  </si>
  <si>
    <t>70900070165*</t>
  </si>
  <si>
    <t>A100385600005</t>
  </si>
  <si>
    <t>70900070063*</t>
  </si>
  <si>
    <t>70900070115*</t>
  </si>
  <si>
    <t>A100385600006</t>
  </si>
  <si>
    <t>Biksēre - Rūpnieki</t>
  </si>
  <si>
    <t>Tilts pār Libes upi</t>
  </si>
  <si>
    <t>N56,920639 E26,31342</t>
  </si>
  <si>
    <t>Dzelzbetons, bruģis</t>
  </si>
  <si>
    <t>A100385600007</t>
  </si>
  <si>
    <t>Biksēre - Sarkaņu pagastmāja</t>
  </si>
  <si>
    <t>A100385600008</t>
  </si>
  <si>
    <t>Atvases - Rēķi</t>
  </si>
  <si>
    <t>A100385600009</t>
  </si>
  <si>
    <t>Muižnieki - Varenes</t>
  </si>
  <si>
    <t>A100385600010</t>
  </si>
  <si>
    <t>Kalnieši - Mežmalas</t>
  </si>
  <si>
    <t>A100385600011</t>
  </si>
  <si>
    <t>Lauciņi - Iebuļas</t>
  </si>
  <si>
    <t>A100385600012</t>
  </si>
  <si>
    <t>Biksēre - Usnes</t>
  </si>
  <si>
    <t>B100385600013</t>
  </si>
  <si>
    <t>Poteri - Poļvarka</t>
  </si>
  <si>
    <t>B100385600014</t>
  </si>
  <si>
    <t>Poteri- Sarkaņi-Praulienas pagasts</t>
  </si>
  <si>
    <t>B100385600015</t>
  </si>
  <si>
    <t>Piesaules -Bukšas-Baltiņi - Cesvaines novads</t>
  </si>
  <si>
    <t>B100385600016</t>
  </si>
  <si>
    <t>Dārzāji - Indrāni - Sarkaņi</t>
  </si>
  <si>
    <t>B100385600017</t>
  </si>
  <si>
    <t>Indrāni -Slāpe</t>
  </si>
  <si>
    <t>B100385600018</t>
  </si>
  <si>
    <t>Rīta iela - Krieviņi - Muižnieki</t>
  </si>
  <si>
    <t>B100385600019</t>
  </si>
  <si>
    <t>Indrāni - Vizuļi - Raibenes</t>
  </si>
  <si>
    <t>70900090145*</t>
  </si>
  <si>
    <t>70900110036*</t>
  </si>
  <si>
    <t>B100385600020</t>
  </si>
  <si>
    <t>Patkule - Purmaļi</t>
  </si>
  <si>
    <t>70900080125*</t>
  </si>
  <si>
    <t>B100385600021</t>
  </si>
  <si>
    <t>Vidsētas  - Krastnieki</t>
  </si>
  <si>
    <t>B100385600022</t>
  </si>
  <si>
    <t>Mežmalas - Dravnieks</t>
  </si>
  <si>
    <t>B100385600023</t>
  </si>
  <si>
    <t>Biksēre - Lācēni</t>
  </si>
  <si>
    <t>70900050108*</t>
  </si>
  <si>
    <t>B100385600024</t>
  </si>
  <si>
    <t>Kalnagravas - Brici</t>
  </si>
  <si>
    <t>B100385600025</t>
  </si>
  <si>
    <t>Iegrīves - Skudras</t>
  </si>
  <si>
    <t>B100385600026</t>
  </si>
  <si>
    <t>Saulieši - Pagastmāja</t>
  </si>
  <si>
    <t>70900040233*</t>
  </si>
  <si>
    <t>B100385600027</t>
  </si>
  <si>
    <t>Gaitnieki - Poļvarka</t>
  </si>
  <si>
    <t>70900050063*</t>
  </si>
  <si>
    <t>70900050148*</t>
  </si>
  <si>
    <t>B100385600028</t>
  </si>
  <si>
    <t>Purmaļi - Vizuļi - Biksēre</t>
  </si>
  <si>
    <t>B100385600029</t>
  </si>
  <si>
    <t>Sprīdīši - Siļķava</t>
  </si>
  <si>
    <t>B100385600030</t>
  </si>
  <si>
    <t>Aizkuja - Ūdrupji</t>
  </si>
  <si>
    <t>70900020027*</t>
  </si>
  <si>
    <t>B100385600031</t>
  </si>
  <si>
    <t>Poļvarka - Tiltakalns - Liepnieki</t>
  </si>
  <si>
    <t>70900050098*</t>
  </si>
  <si>
    <t>B100385600032</t>
  </si>
  <si>
    <t>Sprīzdāni - Krieviņi - Palsēni</t>
  </si>
  <si>
    <t>C100385600033</t>
  </si>
  <si>
    <t>Stalīdzēni - Muižnieki</t>
  </si>
  <si>
    <t>C100385600034</t>
  </si>
  <si>
    <t>Klaucēni - Stalīdzēni</t>
  </si>
  <si>
    <t>70900030029*</t>
  </si>
  <si>
    <t>C100385600035</t>
  </si>
  <si>
    <t>Stiprie - Cesvaines novads</t>
  </si>
  <si>
    <t>C100385600036</t>
  </si>
  <si>
    <t>Rītiņi - Purmalas</t>
  </si>
  <si>
    <t>C100385600037</t>
  </si>
  <si>
    <t>Lauri - Poteri</t>
  </si>
  <si>
    <t>70900090002*</t>
  </si>
  <si>
    <t>C100385600038</t>
  </si>
  <si>
    <t>Stoķi - Iegrīves</t>
  </si>
  <si>
    <t>70900110027*</t>
  </si>
  <si>
    <t>C100385600039</t>
  </si>
  <si>
    <t>Slokaskalns - Tīlītes</t>
  </si>
  <si>
    <t>70900040314*</t>
  </si>
  <si>
    <t>70900040098*</t>
  </si>
  <si>
    <t>C100385600040</t>
  </si>
  <si>
    <t>Norkalni - Praulienas pagasts</t>
  </si>
  <si>
    <t>Madonas novada Sausnējas pagasta pašvaldības autoceļu un ielu saraksts</t>
  </si>
  <si>
    <t>A100385700001</t>
  </si>
  <si>
    <t xml:space="preserve">Sidrabiņu centrs </t>
  </si>
  <si>
    <t>70920070166</t>
  </si>
  <si>
    <t>Sidrabiņi</t>
  </si>
  <si>
    <t>70920070136*</t>
  </si>
  <si>
    <t>A100385700002</t>
  </si>
  <si>
    <t xml:space="preserve">Sausnējas centrs –  skola
–  darbnīcas    </t>
  </si>
  <si>
    <t>70920080236</t>
  </si>
  <si>
    <t>Sausnēja</t>
  </si>
  <si>
    <t>A100385700003</t>
  </si>
  <si>
    <t>Sausnējas centrs –  kalte</t>
  </si>
  <si>
    <t>70920080237</t>
  </si>
  <si>
    <t>A100385700004</t>
  </si>
  <si>
    <t>Sausnējas centrs –  veikali</t>
  </si>
  <si>
    <t>70920080243</t>
  </si>
  <si>
    <t>A100385700005</t>
  </si>
  <si>
    <t>Ceļš uz Smiltājiem</t>
  </si>
  <si>
    <t>70920080240*</t>
  </si>
  <si>
    <t>70920080193</t>
  </si>
  <si>
    <t>70920080130*</t>
  </si>
  <si>
    <t>A100385700006</t>
  </si>
  <si>
    <t>Sidrabiņi - Bārkaiži</t>
  </si>
  <si>
    <t>70920070068</t>
  </si>
  <si>
    <t>70920040088</t>
  </si>
  <si>
    <t>A100385700007</t>
  </si>
  <si>
    <t>Noras - Druvas</t>
  </si>
  <si>
    <t>70920030122*</t>
  </si>
  <si>
    <t>70920030092*</t>
  </si>
  <si>
    <t>70920030109*</t>
  </si>
  <si>
    <t>70920030061*</t>
  </si>
  <si>
    <t>B200385700008</t>
  </si>
  <si>
    <t>Valtiņi - Ērmēni</t>
  </si>
  <si>
    <t>70920070069</t>
  </si>
  <si>
    <t>B100385700009</t>
  </si>
  <si>
    <t>Bērziņi - Smiķi - Cūkāji</t>
  </si>
  <si>
    <t>70920050074</t>
  </si>
  <si>
    <t>70920050051</t>
  </si>
  <si>
    <t>70920050034*</t>
  </si>
  <si>
    <t>70920050036*</t>
  </si>
  <si>
    <t>B100385700010</t>
  </si>
  <si>
    <t>Upmalas - Emmas dzirnavas</t>
  </si>
  <si>
    <t>70920010044</t>
  </si>
  <si>
    <t>B100385700011</t>
  </si>
  <si>
    <t>Baltiņi - Priekšēni</t>
  </si>
  <si>
    <t>70920010045</t>
  </si>
  <si>
    <t>B100385700012</t>
  </si>
  <si>
    <t>Ziediņi - Paņķēni</t>
  </si>
  <si>
    <t>70920030083</t>
  </si>
  <si>
    <t>70920040090</t>
  </si>
  <si>
    <t>70920040010*</t>
  </si>
  <si>
    <t>B100385700013</t>
  </si>
  <si>
    <t>Bieņēni- Dzintari</t>
  </si>
  <si>
    <t>70920040052</t>
  </si>
  <si>
    <t>70920040019*</t>
  </si>
  <si>
    <t>70920040160</t>
  </si>
  <si>
    <t>B100385700014</t>
  </si>
  <si>
    <t>Dzintari - Vetiņi</t>
  </si>
  <si>
    <t>70920040089</t>
  </si>
  <si>
    <t>7092 003 0082</t>
  </si>
  <si>
    <t>70920030179</t>
  </si>
  <si>
    <t>B100385700015</t>
  </si>
  <si>
    <t>Pagrabiņi - Dramšķi - Dzidrēni</t>
  </si>
  <si>
    <t>70920070067</t>
  </si>
  <si>
    <t>70920070016*</t>
  </si>
  <si>
    <t>B100385700016</t>
  </si>
  <si>
    <t>Sidrabiņi - Niedrēni</t>
  </si>
  <si>
    <t>70920070167</t>
  </si>
  <si>
    <t>B100385700017</t>
  </si>
  <si>
    <t>Ģibuļi - Ozolkalns</t>
  </si>
  <si>
    <t>70920050027*</t>
  </si>
  <si>
    <t xml:space="preserve"> 70920060005* </t>
  </si>
  <si>
    <t xml:space="preserve"> 70920060003*</t>
  </si>
  <si>
    <t>70920060077*</t>
  </si>
  <si>
    <t xml:space="preserve"> 70920060078*</t>
  </si>
  <si>
    <t>70920060078*</t>
  </si>
  <si>
    <t>70920060017*</t>
  </si>
  <si>
    <t>70920060043*</t>
  </si>
  <si>
    <t>70920060014*</t>
  </si>
  <si>
    <t>B100385700018</t>
  </si>
  <si>
    <t>Sausnēja - Putrēni</t>
  </si>
  <si>
    <t>Tilts pār Vesetu</t>
  </si>
  <si>
    <t>y=297328.42
x=605161.64</t>
  </si>
  <si>
    <t>70920080093</t>
  </si>
  <si>
    <t>B100385700019</t>
  </si>
  <si>
    <t>Sausnēja - Kaukuri</t>
  </si>
  <si>
    <t>70920080142</t>
  </si>
  <si>
    <t>C100385700020</t>
  </si>
  <si>
    <t>Masuļi - Bušmaņi</t>
  </si>
  <si>
    <t>70920030158</t>
  </si>
  <si>
    <t>C100385700021</t>
  </si>
  <si>
    <t>Zemturi - Noriņas</t>
  </si>
  <si>
    <t>70920050142</t>
  </si>
  <si>
    <t>C100385700022</t>
  </si>
  <si>
    <t>Kampēni - Rumuļi</t>
  </si>
  <si>
    <t>70920080114*</t>
  </si>
  <si>
    <t>70920080187</t>
  </si>
  <si>
    <t>70920080118*</t>
  </si>
  <si>
    <t>70920080204*</t>
  </si>
  <si>
    <t>C100385700023</t>
  </si>
  <si>
    <t>Kaukuri - Julsēni</t>
  </si>
  <si>
    <t>70920080152</t>
  </si>
  <si>
    <t>70920080113*</t>
  </si>
  <si>
    <t xml:space="preserve">70920080129* </t>
  </si>
  <si>
    <t>C100385700024</t>
  </si>
  <si>
    <t>Ķurzēni - Placēni</t>
  </si>
  <si>
    <t xml:space="preserve"> 70920080027*</t>
  </si>
  <si>
    <t>70920080018*</t>
  </si>
  <si>
    <t>70920080086*</t>
  </si>
  <si>
    <t>C100385700025</t>
  </si>
  <si>
    <t>V844 - Aivari</t>
  </si>
  <si>
    <t>70920010069*</t>
  </si>
  <si>
    <t>70920010138</t>
  </si>
  <si>
    <t>C100385700026</t>
  </si>
  <si>
    <t xml:space="preserve">Liepkalne - Mūrnieki </t>
  </si>
  <si>
    <t>70920030081</t>
  </si>
  <si>
    <t xml:space="preserve"> 70920030029*</t>
  </si>
  <si>
    <t>C100385700027</t>
  </si>
  <si>
    <t>Kalna Daktas-Lejas Kaņepēni</t>
  </si>
  <si>
    <t>70920030009*</t>
  </si>
  <si>
    <t>70920030160</t>
  </si>
  <si>
    <t>70920020041</t>
  </si>
  <si>
    <t>C100385700028</t>
  </si>
  <si>
    <t>Lēpīši -Jaunkaņepēni</t>
  </si>
  <si>
    <t>70920040110*</t>
  </si>
  <si>
    <t>70920040120*</t>
  </si>
  <si>
    <t>70920040168</t>
  </si>
  <si>
    <t>C100385700029</t>
  </si>
  <si>
    <t>V917 -Jaunramļēni</t>
  </si>
  <si>
    <t>70920080016*</t>
  </si>
  <si>
    <t>70920080004*</t>
  </si>
  <si>
    <t xml:space="preserve"> 70920080083*</t>
  </si>
  <si>
    <t>C100385700030</t>
  </si>
  <si>
    <t>V917 -Ramļēni</t>
  </si>
  <si>
    <t>70920080234*</t>
  </si>
  <si>
    <t>70920080151*</t>
  </si>
  <si>
    <t>C100385700031</t>
  </si>
  <si>
    <t>Veseta - Jankas</t>
  </si>
  <si>
    <t>70920050048*</t>
  </si>
  <si>
    <t>70920060027*</t>
  </si>
  <si>
    <t>70920060065*</t>
  </si>
  <si>
    <t>70920060058*</t>
  </si>
  <si>
    <t xml:space="preserve"> 70920060041*</t>
  </si>
  <si>
    <t xml:space="preserve"> 70920060036*</t>
  </si>
  <si>
    <t xml:space="preserve"> 70920060037*</t>
  </si>
  <si>
    <t>Varakļānu pagasts</t>
  </si>
  <si>
    <t>A100386010001</t>
  </si>
  <si>
    <t>Piļpuki, Nr. 1</t>
  </si>
  <si>
    <t>A100386010002</t>
  </si>
  <si>
    <t>Justi, Nr.3</t>
  </si>
  <si>
    <t>A100386010003</t>
  </si>
  <si>
    <t>Kokari Nr.9</t>
  </si>
  <si>
    <t>melnais segums</t>
  </si>
  <si>
    <t>A100386010004</t>
  </si>
  <si>
    <t>Bāzes Nr.8</t>
  </si>
  <si>
    <t>A100386010005</t>
  </si>
  <si>
    <t>Puntuži Nr.11</t>
  </si>
  <si>
    <t>A100386010006</t>
  </si>
  <si>
    <t>Vetpunkts, Nr.12</t>
  </si>
  <si>
    <t>A100386010007</t>
  </si>
  <si>
    <t>Vecums, Nr.13</t>
  </si>
  <si>
    <t>A100386010008</t>
  </si>
  <si>
    <t>Puntuži - Poči, Nr. 15</t>
  </si>
  <si>
    <t>A100386010009</t>
  </si>
  <si>
    <t>Šķēles - Stirniene Nr.21</t>
  </si>
  <si>
    <t>56.609364, 26.619595</t>
  </si>
  <si>
    <t>A100386010010</t>
  </si>
  <si>
    <t>Broki-Robežveipi</t>
  </si>
  <si>
    <t>A100386010011</t>
  </si>
  <si>
    <t>Grozas, Nr.24</t>
  </si>
  <si>
    <t>70940050155*</t>
  </si>
  <si>
    <t>A100386010012</t>
  </si>
  <si>
    <t>Lielie Leimaņi, Nr.25</t>
  </si>
  <si>
    <t>70940050215*</t>
  </si>
  <si>
    <t>70940050107*</t>
  </si>
  <si>
    <t>A100386010013</t>
  </si>
  <si>
    <t>Stabulnieki, Nr.26</t>
  </si>
  <si>
    <t>A100386010014</t>
  </si>
  <si>
    <t>Aizkalnieši, Nr. 27</t>
  </si>
  <si>
    <t>A100386010015</t>
  </si>
  <si>
    <t>Deigļi, Nr.31</t>
  </si>
  <si>
    <t>A100386010016</t>
  </si>
  <si>
    <t>Eiduki, Nr.34</t>
  </si>
  <si>
    <t>A100386010017</t>
  </si>
  <si>
    <t>Vēveri, Nr.35</t>
  </si>
  <si>
    <t>A100386010018</t>
  </si>
  <si>
    <t>Skapsti - Lejasdzirnavas, Nr.6.,7.</t>
  </si>
  <si>
    <t>A100386010019</t>
  </si>
  <si>
    <t xml:space="preserve"> 	Poči - Silenieki, Nr. 16</t>
  </si>
  <si>
    <t>A100386010020</t>
  </si>
  <si>
    <t>Višņevski, Nr.17</t>
  </si>
  <si>
    <t>70940030032*</t>
  </si>
  <si>
    <t>70940030053*</t>
  </si>
  <si>
    <t>A100386010021</t>
  </si>
  <si>
    <t>Kluši, Nr.19</t>
  </si>
  <si>
    <t>70940020003*</t>
  </si>
  <si>
    <t>70940020002*</t>
  </si>
  <si>
    <t>70940020161*</t>
  </si>
  <si>
    <t>A100386010022</t>
  </si>
  <si>
    <t>Ciematnieki, Nr. 28</t>
  </si>
  <si>
    <t>A100386010023</t>
  </si>
  <si>
    <t>Zirnīši Nr.32</t>
  </si>
  <si>
    <t>70940070235*</t>
  </si>
  <si>
    <t>70940070172*</t>
  </si>
  <si>
    <t>70940070021*</t>
  </si>
  <si>
    <t>A100386010024</t>
  </si>
  <si>
    <t>Pagasta ceļš</t>
  </si>
  <si>
    <t>B100386010025</t>
  </si>
  <si>
    <t>Aveņu ceļš</t>
  </si>
  <si>
    <t>70940060196*</t>
  </si>
  <si>
    <t>B100386010026</t>
  </si>
  <si>
    <t>Strodi, Nr.2</t>
  </si>
  <si>
    <t>70940010067*</t>
  </si>
  <si>
    <t>B100386010027</t>
  </si>
  <si>
    <t xml:space="preserve"> 	Matuļi, Nr.24</t>
  </si>
  <si>
    <t>cits</t>
  </si>
  <si>
    <t>B100386010028</t>
  </si>
  <si>
    <t xml:space="preserve"> 	Jurašinkas, Nr.14</t>
  </si>
  <si>
    <t>70940030030*</t>
  </si>
  <si>
    <t>B100386010029</t>
  </si>
  <si>
    <t>Leimaņi, Nr. 20</t>
  </si>
  <si>
    <t>B100386010030</t>
  </si>
  <si>
    <t>Vecais, Nr.23</t>
  </si>
  <si>
    <t>70940060245*</t>
  </si>
  <si>
    <t>B100386010031</t>
  </si>
  <si>
    <t>Kristapurvs, Nr.33</t>
  </si>
  <si>
    <t>B100386010032</t>
  </si>
  <si>
    <t>Bērziņi, Nr.99</t>
  </si>
  <si>
    <t>70940020001*</t>
  </si>
  <si>
    <t>B100386010033</t>
  </si>
  <si>
    <t>Kazusala, Nr.5</t>
  </si>
  <si>
    <t>70940010003*</t>
  </si>
  <si>
    <t>70940010040*</t>
  </si>
  <si>
    <t>B100386010034</t>
  </si>
  <si>
    <t>Mazie Veipi, Nr.10</t>
  </si>
  <si>
    <t>B100386010035</t>
  </si>
  <si>
    <t xml:space="preserve"> 	Ogļudobes, Nr. 18</t>
  </si>
  <si>
    <t>70940040020*</t>
  </si>
  <si>
    <t>C100386010036</t>
  </si>
  <si>
    <t xml:space="preserve"> 	Vaikne, Nr. 71</t>
  </si>
  <si>
    <t>C100386010037</t>
  </si>
  <si>
    <t>Robežveipi, Nr.86</t>
  </si>
  <si>
    <t>C100386010038</t>
  </si>
  <si>
    <t>Vizbuļi, Nr.43</t>
  </si>
  <si>
    <t>C100386010039</t>
  </si>
  <si>
    <t>Intas, Nr.59</t>
  </si>
  <si>
    <t>70940030193*</t>
  </si>
  <si>
    <t>70940030138*</t>
  </si>
  <si>
    <t>C100386010040</t>
  </si>
  <si>
    <t xml:space="preserve"> 	Saulaine, Nr. 50</t>
  </si>
  <si>
    <t>70940040021*</t>
  </si>
  <si>
    <t>70940040214*</t>
  </si>
  <si>
    <t>70940040212*</t>
  </si>
  <si>
    <t>C100386010041</t>
  </si>
  <si>
    <t>Čeičinieki, Nr.68</t>
  </si>
  <si>
    <t>70940020022*</t>
  </si>
  <si>
    <t>70940020018*</t>
  </si>
  <si>
    <t>70940020213*</t>
  </si>
  <si>
    <t>C100386010042</t>
  </si>
  <si>
    <t>Ignaši, Nr.81</t>
  </si>
  <si>
    <t>70940050080*</t>
  </si>
  <si>
    <t>70940050008*</t>
  </si>
  <si>
    <t>70940050084*</t>
  </si>
  <si>
    <t>C100386010043</t>
  </si>
  <si>
    <t xml:space="preserve"> 	Ieviņas, Nr.87</t>
  </si>
  <si>
    <t>70940060323*</t>
  </si>
  <si>
    <t>70940060193*</t>
  </si>
  <si>
    <t>70940060211*</t>
  </si>
  <si>
    <t>70940060177*</t>
  </si>
  <si>
    <t>70940060157*</t>
  </si>
  <si>
    <t>C100386010044</t>
  </si>
  <si>
    <t>Kantora, Nr.92</t>
  </si>
  <si>
    <t>70940070023*</t>
  </si>
  <si>
    <t>70940070024*</t>
  </si>
  <si>
    <t>C100386010045</t>
  </si>
  <si>
    <t>Āboltiņi</t>
  </si>
  <si>
    <t>70940070082*</t>
  </si>
  <si>
    <t>70940070016*</t>
  </si>
  <si>
    <t>C100386010046</t>
  </si>
  <si>
    <t>Rasmas</t>
  </si>
  <si>
    <t>70940070187*</t>
  </si>
  <si>
    <t>70940070034*</t>
  </si>
  <si>
    <t>C100386010047</t>
  </si>
  <si>
    <t>Ārmaņu ceļš</t>
  </si>
  <si>
    <t>70940030201*</t>
  </si>
  <si>
    <t>C100386010048</t>
  </si>
  <si>
    <t>Elvīras ceļš</t>
  </si>
  <si>
    <t>70940060033*</t>
  </si>
  <si>
    <t>C100386010049</t>
  </si>
  <si>
    <t>Oltužu ceļš</t>
  </si>
  <si>
    <t>B100386010050</t>
  </si>
  <si>
    <t xml:space="preserve">Pūpolu iela </t>
  </si>
  <si>
    <t>Stirniene</t>
  </si>
  <si>
    <t>B100386010051</t>
  </si>
  <si>
    <t>B100386010052</t>
  </si>
  <si>
    <t xml:space="preserve">Meldru iela </t>
  </si>
  <si>
    <t>B100386010053</t>
  </si>
  <si>
    <t xml:space="preserve">Avotu iela </t>
  </si>
  <si>
    <t>Kokari</t>
  </si>
  <si>
    <t>B100386010054</t>
  </si>
  <si>
    <t xml:space="preserve">Jaunatnes iela </t>
  </si>
  <si>
    <t>B100386010055</t>
  </si>
  <si>
    <t>B100386010056</t>
  </si>
  <si>
    <t>Ausmas iela</t>
  </si>
  <si>
    <t>B100386010057</t>
  </si>
  <si>
    <t>Latgales prospekts</t>
  </si>
  <si>
    <t>Murmastienes pagasts</t>
  </si>
  <si>
    <t>A100385910001</t>
  </si>
  <si>
    <t>Murmastiene- Silagals</t>
  </si>
  <si>
    <t>A100385910002</t>
  </si>
  <si>
    <t>Silagals-Siksala</t>
  </si>
  <si>
    <t>A100385910003</t>
  </si>
  <si>
    <t>Bārbaļi-Silagals</t>
  </si>
  <si>
    <t>A100385910004</t>
  </si>
  <si>
    <t>Caunes - Bārbaļi</t>
  </si>
  <si>
    <t>A100385910005</t>
  </si>
  <si>
    <t>Karolīna - Inčārnieki</t>
  </si>
  <si>
    <t>A100385910006</t>
  </si>
  <si>
    <t>Kanči - Inčārnieki</t>
  </si>
  <si>
    <t>A100385910007</t>
  </si>
  <si>
    <t>Veipi - Tiltagals</t>
  </si>
  <si>
    <t>70780080054*</t>
  </si>
  <si>
    <t>A100385910008</t>
  </si>
  <si>
    <t>Zepi - Zabatas - Puščas</t>
  </si>
  <si>
    <t>A100385910009</t>
  </si>
  <si>
    <t>Puščas - Darvinieki</t>
  </si>
  <si>
    <t>56.633581, 26.658910</t>
  </si>
  <si>
    <t>A100385910010</t>
  </si>
  <si>
    <t>Vorza - Trizelnieki - Seimuškas</t>
  </si>
  <si>
    <t>A100385910011</t>
  </si>
  <si>
    <t>Sārnas - Lielstrodi - Varakļāni</t>
  </si>
  <si>
    <t>A100385910012</t>
  </si>
  <si>
    <t>Vecumnieki - Teiceja - Arklinieki</t>
  </si>
  <si>
    <t>A100385910013</t>
  </si>
  <si>
    <t xml:space="preserve"> 	V893 (Tumaševa - Inčārnieki - Vecumnieki)</t>
  </si>
  <si>
    <t>B100385910014</t>
  </si>
  <si>
    <t>Silagals - Saliņa</t>
  </si>
  <si>
    <t>70780030244*</t>
  </si>
  <si>
    <t>B100385910015</t>
  </si>
  <si>
    <t>Boļu viensētu ceļš</t>
  </si>
  <si>
    <t>B100385910016</t>
  </si>
  <si>
    <t>Caunes - Kastaņi</t>
  </si>
  <si>
    <t>B100385910017</t>
  </si>
  <si>
    <t>Caunes - Grāna grāvis</t>
  </si>
  <si>
    <t>70780030051*</t>
  </si>
  <si>
    <t>B100385910018</t>
  </si>
  <si>
    <t>Murmastienes upe - Kokāji</t>
  </si>
  <si>
    <t>B100385910019</t>
  </si>
  <si>
    <t>Greblis - Mazie Tropi</t>
  </si>
  <si>
    <t>70780040286*</t>
  </si>
  <si>
    <t>70780040287*</t>
  </si>
  <si>
    <t>B100385910020</t>
  </si>
  <si>
    <t>Greblis - Aizpurve</t>
  </si>
  <si>
    <t>B100385910021</t>
  </si>
  <si>
    <t>Kanči - Lapsas</t>
  </si>
  <si>
    <t>70780040067*</t>
  </si>
  <si>
    <t>70780040069*</t>
  </si>
  <si>
    <t>70780040485*</t>
  </si>
  <si>
    <t>B100385910022</t>
  </si>
  <si>
    <t>Lielstrodi - Lielstrodu kapi</t>
  </si>
  <si>
    <t>B100385910023</t>
  </si>
  <si>
    <t>Sārnas - Kozsala</t>
  </si>
  <si>
    <t>70780090162*</t>
  </si>
  <si>
    <t>C100385910024</t>
  </si>
  <si>
    <t>Vēstiņsalas viensētu ceļš</t>
  </si>
  <si>
    <t>C100385910025</t>
  </si>
  <si>
    <t>Rozes viensētu ceļš</t>
  </si>
  <si>
    <t>C100385910026</t>
  </si>
  <si>
    <t>Murmastiene - Zāles miltu agregāts</t>
  </si>
  <si>
    <t>C100385910027</t>
  </si>
  <si>
    <t>Uz Trizelnieku kapiem</t>
  </si>
  <si>
    <t>C100385910028</t>
  </si>
  <si>
    <t>Vidsala - Meirānu kanāls</t>
  </si>
  <si>
    <t>70780060019*</t>
  </si>
  <si>
    <t>C100385910029</t>
  </si>
  <si>
    <t>Puščas - Kozsala</t>
  </si>
  <si>
    <t>70780080145*</t>
  </si>
  <si>
    <t>C100385910030</t>
  </si>
  <si>
    <t>Ceļš uz Braslām</t>
  </si>
  <si>
    <t>C100385910031</t>
  </si>
  <si>
    <t>Kozsola - Arklenieki</t>
  </si>
  <si>
    <t>70780090098*</t>
  </si>
  <si>
    <t>70780090093*</t>
  </si>
  <si>
    <t>70780090105*</t>
  </si>
  <si>
    <t>70780090106*</t>
  </si>
  <si>
    <t>70780090027*</t>
  </si>
  <si>
    <t>C100385910032</t>
  </si>
  <si>
    <t>Uz veco kalti</t>
  </si>
  <si>
    <t>70780040470*</t>
  </si>
  <si>
    <t>C100385910033</t>
  </si>
  <si>
    <t>Uz Vidiņiem</t>
  </si>
  <si>
    <t>70780040007*</t>
  </si>
  <si>
    <t>70780040084*</t>
  </si>
  <si>
    <t>C100385910034</t>
  </si>
  <si>
    <t>Seimuškas - Smelteri</t>
  </si>
  <si>
    <t>C100385910035</t>
  </si>
  <si>
    <t>Vecumnieku kapu ceļš</t>
  </si>
  <si>
    <t>70780080175*</t>
  </si>
  <si>
    <t>70780080166*</t>
  </si>
  <si>
    <t>C100385910036</t>
  </si>
  <si>
    <t>Mežastrodi - Oškalni</t>
  </si>
  <si>
    <t>70780060028*</t>
  </si>
  <si>
    <t>70780060001*</t>
  </si>
  <si>
    <t>C100385910037</t>
  </si>
  <si>
    <t>Mežastrodi - Salas</t>
  </si>
  <si>
    <t>70780060057*</t>
  </si>
  <si>
    <t>70780060023*</t>
  </si>
  <si>
    <t>B100385910038</t>
  </si>
  <si>
    <t>Murmastiene</t>
  </si>
  <si>
    <t>B100385910039</t>
  </si>
  <si>
    <t>Muižas iela</t>
  </si>
  <si>
    <t>B100385910040</t>
  </si>
  <si>
    <t>B100385910041</t>
  </si>
  <si>
    <t>Līvānu iela</t>
  </si>
  <si>
    <t>B100385910042</t>
  </si>
  <si>
    <t>B100385910043</t>
  </si>
  <si>
    <t xml:space="preserve"> Liepu iela </t>
  </si>
  <si>
    <t>B100385910044</t>
  </si>
  <si>
    <t>B100385910045</t>
  </si>
  <si>
    <t>Varakļānu pilsēta</t>
  </si>
  <si>
    <t>D100382310001</t>
  </si>
  <si>
    <t>1.Maija laukums</t>
  </si>
  <si>
    <t>Varakļāni</t>
  </si>
  <si>
    <t>D100382310002</t>
  </si>
  <si>
    <t>D100382310003</t>
  </si>
  <si>
    <t>D100382310004</t>
  </si>
  <si>
    <t>D100382310005</t>
  </si>
  <si>
    <t>Daugavpils iela</t>
  </si>
  <si>
    <t>D100382310006</t>
  </si>
  <si>
    <t>D100382310007</t>
  </si>
  <si>
    <t>Fabrikas iela</t>
  </si>
  <si>
    <t>70170010620*</t>
  </si>
  <si>
    <t>70170010301*</t>
  </si>
  <si>
    <t>70170010340*</t>
  </si>
  <si>
    <t>D100382310008</t>
  </si>
  <si>
    <t>Ganību iela</t>
  </si>
  <si>
    <t>D100382310009</t>
  </si>
  <si>
    <t>D100382310010</t>
  </si>
  <si>
    <t>D100382310011</t>
  </si>
  <si>
    <t>Kapsētas iela</t>
  </si>
  <si>
    <t>D100382310012</t>
  </si>
  <si>
    <t>Kosmonautu iela</t>
  </si>
  <si>
    <t>56.605179, 26.772159</t>
  </si>
  <si>
    <t>D100382310013</t>
  </si>
  <si>
    <t>Krustpils iela</t>
  </si>
  <si>
    <t>D100382310014</t>
  </si>
  <si>
    <t>D100382310015</t>
  </si>
  <si>
    <t>70170010462*</t>
  </si>
  <si>
    <t>D100382310016</t>
  </si>
  <si>
    <t>D100382310017</t>
  </si>
  <si>
    <t>Ludzas iela</t>
  </si>
  <si>
    <t>D100382310018</t>
  </si>
  <si>
    <t>D100382310019</t>
  </si>
  <si>
    <t>D100382310020</t>
  </si>
  <si>
    <t>D100382310021</t>
  </si>
  <si>
    <t>D100382310022</t>
  </si>
  <si>
    <t>D100382310023</t>
  </si>
  <si>
    <t>D100382310024</t>
  </si>
  <si>
    <t>Preiļu iela</t>
  </si>
  <si>
    <t>D100382310025</t>
  </si>
  <si>
    <t>D100382310026</t>
  </si>
  <si>
    <t>D100382310027</t>
  </si>
  <si>
    <t xml:space="preserve"> Rīgas iela</t>
  </si>
  <si>
    <t>D100382310028</t>
  </si>
  <si>
    <t>70170010206*</t>
  </si>
  <si>
    <t>D100382310029</t>
  </si>
  <si>
    <t>D100382310030</t>
  </si>
  <si>
    <t>D100382310031</t>
  </si>
  <si>
    <t>Vasarnīcu iela</t>
  </si>
  <si>
    <t>D100382310032</t>
  </si>
  <si>
    <t>D100382310033</t>
  </si>
  <si>
    <t>D100382310034</t>
  </si>
  <si>
    <t>Madonas novada pašvaldības Vestienas pagasta autoceļu un ielu saraksts</t>
  </si>
  <si>
    <t>Ceļa indentifikators</t>
  </si>
  <si>
    <r>
      <t>brauk­tuves laukums (m</t>
    </r>
    <r>
      <rPr>
        <vertAlign val="superscript"/>
        <sz val="11"/>
        <rFont val="Times New Roman"/>
        <family val="1"/>
        <charset val="186"/>
      </rPr>
      <t>2</t>
    </r>
    <r>
      <rPr>
        <sz val="11"/>
        <rFont val="Times New Roman"/>
        <family val="1"/>
        <charset val="186"/>
      </rPr>
      <t>)</t>
    </r>
  </si>
  <si>
    <t>A100385800001</t>
  </si>
  <si>
    <t>Dzeņkalniņa iela</t>
  </si>
  <si>
    <t>Vestiena</t>
  </si>
  <si>
    <t>A100385800002</t>
  </si>
  <si>
    <t>Muižas gatve</t>
  </si>
  <si>
    <t>A100385800003</t>
  </si>
  <si>
    <t>A100385800004</t>
  </si>
  <si>
    <t>70960070252*</t>
  </si>
  <si>
    <t>A100385800005</t>
  </si>
  <si>
    <t>70960070299*</t>
  </si>
  <si>
    <t>A100385800006</t>
  </si>
  <si>
    <t>Sniedzes iela</t>
  </si>
  <si>
    <t>A100385800007</t>
  </si>
  <si>
    <t>Eglītes iela</t>
  </si>
  <si>
    <t>A100385800008</t>
  </si>
  <si>
    <t>Dīķēnu iela</t>
  </si>
  <si>
    <t>A100385800009</t>
  </si>
  <si>
    <t>A100385800010</t>
  </si>
  <si>
    <t>A100385800011</t>
  </si>
  <si>
    <t>70960070045*</t>
  </si>
  <si>
    <t>B100385800012</t>
  </si>
  <si>
    <t>Salāja iela</t>
  </si>
  <si>
    <t>70960070170*</t>
  </si>
  <si>
    <t>B100385800013</t>
  </si>
  <si>
    <t>B100385800014</t>
  </si>
  <si>
    <t xml:space="preserve">
70960070247</t>
  </si>
  <si>
    <t>B100385800015</t>
  </si>
  <si>
    <t>Upītes - Vestiena</t>
  </si>
  <si>
    <t>B100385800016</t>
  </si>
  <si>
    <t>Kalnsētas - Vērnieki</t>
  </si>
  <si>
    <t>B100385800017</t>
  </si>
  <si>
    <t>Tolka - Lauski</t>
  </si>
  <si>
    <t>B100385800018</t>
  </si>
  <si>
    <t>Zlaugotnes - Podnieki - Vidiņēni</t>
  </si>
  <si>
    <t>70460020080*</t>
  </si>
  <si>
    <t xml:space="preserve">70460050005* </t>
  </si>
  <si>
    <t>70460050005*</t>
  </si>
  <si>
    <t>B100385800019</t>
  </si>
  <si>
    <t>Vēveri - Jaunāres</t>
  </si>
  <si>
    <t>B100385800020</t>
  </si>
  <si>
    <t>Dadzīši  - Stuļģi</t>
  </si>
  <si>
    <t>B100385800021</t>
  </si>
  <si>
    <t>Zeltkalni - Baznīca</t>
  </si>
  <si>
    <t>B100385800022</t>
  </si>
  <si>
    <t>Anduļi - Devēna</t>
  </si>
  <si>
    <t>B100385800023</t>
  </si>
  <si>
    <t>Laptēni - Kalnsētas</t>
  </si>
  <si>
    <t>B100385800024</t>
  </si>
  <si>
    <t>Laptēni - Mežandži</t>
  </si>
  <si>
    <t>70540110088* 70540110034* 70540110061*</t>
  </si>
  <si>
    <t>B100385800025</t>
  </si>
  <si>
    <t>Devēna - Tropeles</t>
  </si>
  <si>
    <t>B100385800026</t>
  </si>
  <si>
    <t>Kārļukalni - Rēzēni</t>
  </si>
  <si>
    <t>B100385800027</t>
  </si>
  <si>
    <t>Jaunbirznieki - Pakalnieši</t>
  </si>
  <si>
    <t>B100385800028</t>
  </si>
  <si>
    <t>Miglēni - Zvejnieki</t>
  </si>
  <si>
    <t>B100385800029</t>
  </si>
  <si>
    <t>Igales - Viļumēni</t>
  </si>
  <si>
    <t>B100385800030</t>
  </si>
  <si>
    <t>Rekslēni - Kuilīši</t>
  </si>
  <si>
    <t>70960060007*</t>
  </si>
  <si>
    <t>70960090013*</t>
  </si>
  <si>
    <t>70960090016*</t>
  </si>
  <si>
    <t>B100385800031</t>
  </si>
  <si>
    <t>Dadzīši - Bekseri</t>
  </si>
  <si>
    <t>70960010077*</t>
  </si>
  <si>
    <t>70960010068*</t>
  </si>
  <si>
    <t>70960010073*</t>
  </si>
  <si>
    <t>B100385800032</t>
  </si>
  <si>
    <t>Zvejnieki - Ielāpi</t>
  </si>
  <si>
    <t>70960060114*</t>
  </si>
  <si>
    <t>70960060040*</t>
  </si>
  <si>
    <t>70960060033*</t>
  </si>
  <si>
    <t>70960060027*</t>
  </si>
  <si>
    <t>70960060003*</t>
  </si>
  <si>
    <t>B100385800033</t>
  </si>
  <si>
    <t>Silakrogi - Gaiļi</t>
  </si>
  <si>
    <t>70960010003*</t>
  </si>
  <si>
    <t>70960010027*</t>
  </si>
  <si>
    <t>70960010051*</t>
  </si>
  <si>
    <t>70960010016*</t>
  </si>
  <si>
    <t>C100385800034</t>
  </si>
  <si>
    <t>Baznīca – Vecie kapi</t>
  </si>
  <si>
    <t>C100385800035</t>
  </si>
  <si>
    <t>Lauski - Krūmēni</t>
  </si>
  <si>
    <t>C100385800036</t>
  </si>
  <si>
    <t>Mežsētas - Kūži</t>
  </si>
  <si>
    <t>C100385800037</t>
  </si>
  <si>
    <t>Silakrogi - Āpšalas</t>
  </si>
  <si>
    <t>C100385800038</t>
  </si>
  <si>
    <t>Vērnieki – Valsts mežs</t>
  </si>
  <si>
    <t>C100385800039</t>
  </si>
  <si>
    <t>Gaiziņkalna ceļš – Avošiņš</t>
  </si>
  <si>
    <t>C100385800040</t>
  </si>
  <si>
    <t>Šinkas - Maldi</t>
  </si>
  <si>
    <t>C100385800041</t>
  </si>
  <si>
    <t>Gravēni - Ilziņsalas</t>
  </si>
  <si>
    <t>70960070017*</t>
  </si>
  <si>
    <t>70960070029*</t>
  </si>
  <si>
    <t>C100385800042</t>
  </si>
  <si>
    <t>Inģisti - Ozoli</t>
  </si>
  <si>
    <t>70960060066*</t>
  </si>
  <si>
    <t>70960060065*</t>
  </si>
  <si>
    <t>70960060131*</t>
  </si>
  <si>
    <t>C100385800043</t>
  </si>
  <si>
    <t>Piejūti – Kalna Skujnieši</t>
  </si>
  <si>
    <t>70960060071*</t>
  </si>
  <si>
    <t>70960060074*</t>
  </si>
  <si>
    <t>70960060012*</t>
  </si>
  <si>
    <t>C100385800044</t>
  </si>
  <si>
    <t>Avotiņi - Kalni</t>
  </si>
  <si>
    <t>70960010057*</t>
  </si>
  <si>
    <t>70960060024*</t>
  </si>
  <si>
    <t>70960060077*</t>
  </si>
  <si>
    <t>C100385800045</t>
  </si>
  <si>
    <t>Kārļukalns - Lauski</t>
  </si>
  <si>
    <t>70960070047*</t>
  </si>
  <si>
    <t>70960070133*</t>
  </si>
  <si>
    <t>C100385800046</t>
  </si>
  <si>
    <t>Klaugi - Klaugas</t>
  </si>
  <si>
    <t>70960070014*</t>
  </si>
  <si>
    <t>70960070058*</t>
  </si>
  <si>
    <t>70960070013*</t>
  </si>
  <si>
    <t>70960070016*</t>
  </si>
  <si>
    <t>C100385800047</t>
  </si>
  <si>
    <t>Priežkalni - Kadiķi</t>
  </si>
  <si>
    <t>C100385800048</t>
  </si>
  <si>
    <t>Krastmaļi - Griežmanes</t>
  </si>
  <si>
    <t>Madonas novada pašvaldības autoceļu un ielu kopsavilkums</t>
  </si>
  <si>
    <t>Nr.p.k.</t>
  </si>
  <si>
    <t>Teritorija</t>
  </si>
  <si>
    <t>Ceļi</t>
  </si>
  <si>
    <t>Tilti</t>
  </si>
  <si>
    <t>A grupa</t>
  </si>
  <si>
    <t>B grupa</t>
  </si>
  <si>
    <t>C grupa</t>
  </si>
  <si>
    <t xml:space="preserve">D grupa </t>
  </si>
  <si>
    <t>Kopā</t>
  </si>
  <si>
    <t>garums, km</t>
  </si>
  <si>
    <t>t.sk. melnais segums</t>
  </si>
  <si>
    <t>t.sk. grants segums</t>
  </si>
  <si>
    <t>t.sk. cits segums</t>
  </si>
  <si>
    <t>t.sk. bruģakmens segums</t>
  </si>
  <si>
    <t>garums, m</t>
  </si>
  <si>
    <t>brauktuves laukums, m²</t>
  </si>
  <si>
    <t>Aronas pagasts</t>
  </si>
  <si>
    <t>Barkavas pagasts</t>
  </si>
  <si>
    <t>Bērzaunes pagasts</t>
  </si>
  <si>
    <t>Cesvaines pagasts</t>
  </si>
  <si>
    <t>Cesvaines pilsēta</t>
  </si>
  <si>
    <t>Dzelzavas pagasts</t>
  </si>
  <si>
    <t>Ērgļu pagasts</t>
  </si>
  <si>
    <t>Indrānu pagasts</t>
  </si>
  <si>
    <t>Jumurdas pagasts</t>
  </si>
  <si>
    <t>Kalsnavas pagasts</t>
  </si>
  <si>
    <t>Ļaudonas pagasts</t>
  </si>
  <si>
    <t>Lazdonas pagasts</t>
  </si>
  <si>
    <t>Liezēres pagasts</t>
  </si>
  <si>
    <t>Lubānas pilsēta</t>
  </si>
  <si>
    <t>Madonas pilsēta</t>
  </si>
  <si>
    <t>Mārcienas pagasts</t>
  </si>
  <si>
    <t>Mētrienas pagasts</t>
  </si>
  <si>
    <t>Ošupes pagasts</t>
  </si>
  <si>
    <t>Praulienas pagasts</t>
  </si>
  <si>
    <t>Sarkaņu pagasts</t>
  </si>
  <si>
    <t>Sausnējas pagasts</t>
  </si>
  <si>
    <t>Vestienas pagasts</t>
  </si>
  <si>
    <t>DOKUMENTS PARAKSTĪTS AR DROŠU ELEKTRONISKO PARAKSTU UN SATUR LAIKA ZĪMOGU</t>
  </si>
  <si>
    <t>Sagatavoja</t>
  </si>
  <si>
    <t>ĢIS Speciālists Mikus Maligins</t>
  </si>
  <si>
    <t>Reģistrēja:</t>
  </si>
  <si>
    <t>VSIA “Latvijas Valsts ceļi” Vidzemes reģionālās nodaļas vadītājs Didzis Zvirbulis</t>
  </si>
  <si>
    <t>Parakstīja:</t>
  </si>
  <si>
    <t>Madonas novada pašvaldības izpilddirektors Uģis Fjodorovs</t>
  </si>
  <si>
    <t>Madonas novada pašvaldības Murmastienes pagasta autoceļu un ielu saraksts</t>
  </si>
  <si>
    <t>Madonas novada Varakļānu pagasta pašvaldības autoceļu un ielu saraksts</t>
  </si>
  <si>
    <t>Madonas novads</t>
  </si>
  <si>
    <t>Madonas novada pašvaldības Varakļānu pilsētas ielu saraksts</t>
  </si>
  <si>
    <t>Tilts pār Lises upīti</t>
  </si>
  <si>
    <t>X=302254.65</t>
  </si>
  <si>
    <t>Y=636172.03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</si>
</sst>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0.0"/>
    <numFmt numFmtId="166" formatCode="0000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1"/>
      <name val="Calibri"/>
      <family val="2"/>
      <scheme val="minor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Calibri"/>
      <family val="2"/>
      <scheme val="minor"/>
    </font>
    <font>
      <sz val="10"/>
      <name val="Times New Roman"/>
      <family val="1"/>
      <charset val="186"/>
    </font>
    <font>
      <vertAlign val="superscript"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Times New Roman"/>
      <family val="1"/>
      <charset val="186"/>
    </font>
    <font>
      <sz val="11"/>
      <name val="Calibri"/>
      <family val="2"/>
      <charset val="186"/>
      <scheme val="minor"/>
    </font>
    <font>
      <vertAlign val="superscript"/>
      <sz val="9"/>
      <name val="Times New Roman"/>
      <family val="1"/>
      <charset val="186"/>
    </font>
    <font>
      <sz val="9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414142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vertAlign val="superscript"/>
      <sz val="10"/>
      <color theme="1"/>
      <name val="Times New Roman"/>
      <family val="1"/>
      <charset val="186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charset val="186"/>
    </font>
    <font>
      <b/>
      <sz val="11"/>
      <color theme="1"/>
      <name val="Calibri"/>
      <family val="2"/>
      <charset val="186"/>
    </font>
    <font>
      <sz val="11"/>
      <name val="Calibri"/>
      <family val="2"/>
      <charset val="186"/>
    </font>
    <font>
      <sz val="9"/>
      <color theme="1"/>
      <name val="Calibri"/>
      <family val="2"/>
      <charset val="186"/>
    </font>
    <font>
      <sz val="9"/>
      <name val="Calibri"/>
      <family val="2"/>
      <charset val="186"/>
    </font>
    <font>
      <sz val="12"/>
      <color theme="1"/>
      <name val="Calibri"/>
      <family val="2"/>
      <charset val="186"/>
    </font>
    <font>
      <sz val="10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8"/>
      <color rgb="FF000000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8"/>
      <name val="Verdana"/>
      <family val="2"/>
      <charset val="186"/>
    </font>
    <font>
      <sz val="10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sz val="12"/>
      <color rgb="FF414142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4"/>
      <color rgb="FF00000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medium">
        <color indexed="64"/>
      </left>
      <right style="medium">
        <color rgb="FF414142"/>
      </right>
      <top style="medium">
        <color indexed="64"/>
      </top>
      <bottom/>
      <diagonal/>
    </border>
    <border>
      <left style="medium">
        <color rgb="FF414142"/>
      </left>
      <right style="medium">
        <color rgb="FF414142"/>
      </right>
      <top style="medium">
        <color indexed="64"/>
      </top>
      <bottom/>
      <diagonal/>
    </border>
    <border>
      <left style="medium">
        <color rgb="FF414142"/>
      </left>
      <right/>
      <top style="medium">
        <color indexed="64"/>
      </top>
      <bottom style="medium">
        <color rgb="FF414142"/>
      </bottom>
      <diagonal/>
    </border>
    <border>
      <left/>
      <right/>
      <top style="medium">
        <color indexed="64"/>
      </top>
      <bottom style="medium">
        <color rgb="FF414142"/>
      </bottom>
      <diagonal/>
    </border>
    <border>
      <left/>
      <right style="medium">
        <color rgb="FF414142"/>
      </right>
      <top style="medium">
        <color indexed="64"/>
      </top>
      <bottom style="medium">
        <color rgb="FF414142"/>
      </bottom>
      <diagonal/>
    </border>
    <border>
      <left style="medium">
        <color rgb="FF41414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414142"/>
      </right>
      <top/>
      <bottom/>
      <diagonal/>
    </border>
    <border>
      <left style="medium">
        <color rgb="FF414142"/>
      </left>
      <right style="medium">
        <color rgb="FF414142"/>
      </right>
      <top/>
      <bottom/>
      <diagonal/>
    </border>
    <border>
      <left style="medium">
        <color rgb="FF414142"/>
      </left>
      <right/>
      <top style="medium">
        <color rgb="FF414142"/>
      </top>
      <bottom style="medium">
        <color rgb="FF414142"/>
      </bottom>
      <diagonal/>
    </border>
    <border>
      <left/>
      <right/>
      <top style="medium">
        <color rgb="FF414142"/>
      </top>
      <bottom style="medium">
        <color rgb="FF414142"/>
      </bottom>
      <diagonal/>
    </border>
    <border>
      <left/>
      <right/>
      <top style="medium">
        <color rgb="FF414142"/>
      </top>
      <bottom/>
      <diagonal/>
    </border>
    <border>
      <left/>
      <right style="medium">
        <color rgb="FF414142"/>
      </right>
      <top style="medium">
        <color rgb="FF414142"/>
      </top>
      <bottom/>
      <diagonal/>
    </border>
    <border>
      <left style="medium">
        <color rgb="FF414142"/>
      </left>
      <right/>
      <top style="medium">
        <color rgb="FF414142"/>
      </top>
      <bottom/>
      <diagonal/>
    </border>
    <border>
      <left/>
      <right style="medium">
        <color rgb="FF414142"/>
      </right>
      <top style="medium">
        <color rgb="FF414142"/>
      </top>
      <bottom style="medium">
        <color rgb="FF414142"/>
      </bottom>
      <diagonal/>
    </border>
    <border>
      <left style="medium">
        <color rgb="FF414142"/>
      </left>
      <right style="medium">
        <color rgb="FF414142"/>
      </right>
      <top/>
      <bottom style="medium">
        <color rgb="FF414142"/>
      </bottom>
      <diagonal/>
    </border>
    <border>
      <left style="medium">
        <color rgb="FF414142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rgb="FF414142"/>
      </bottom>
      <diagonal/>
    </border>
    <border>
      <left style="medium">
        <color rgb="FF414142"/>
      </left>
      <right style="medium">
        <color rgb="FF414142"/>
      </right>
      <top style="medium">
        <color rgb="FF414142"/>
      </top>
      <bottom/>
      <diagonal/>
    </border>
    <border>
      <left/>
      <right style="medium">
        <color rgb="FF414142"/>
      </right>
      <top/>
      <bottom/>
      <diagonal/>
    </border>
    <border>
      <left style="medium">
        <color rgb="FF414142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414142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rgb="FF414142"/>
      </bottom>
      <diagonal/>
    </border>
    <border>
      <left style="medium">
        <color indexed="64"/>
      </left>
      <right style="medium">
        <color rgb="FF414142"/>
      </right>
      <top/>
      <bottom style="medium">
        <color rgb="FF414142"/>
      </bottom>
      <diagonal/>
    </border>
    <border>
      <left style="medium">
        <color indexed="64"/>
      </left>
      <right style="medium">
        <color rgb="FF414142"/>
      </right>
      <top style="medium">
        <color rgb="FF414142"/>
      </top>
      <bottom/>
      <diagonal/>
    </border>
    <border>
      <left style="medium">
        <color rgb="FF414142"/>
      </left>
      <right style="medium">
        <color rgb="FF414142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414142"/>
      </bottom>
      <diagonal/>
    </border>
    <border>
      <left style="medium">
        <color indexed="64"/>
      </left>
      <right/>
      <top style="medium">
        <color rgb="FF414142"/>
      </top>
      <bottom style="medium">
        <color rgb="FF414142"/>
      </bottom>
      <diagonal/>
    </border>
    <border>
      <left style="medium">
        <color rgb="FF414142"/>
      </left>
      <right/>
      <top/>
      <bottom style="medium">
        <color rgb="FF414142"/>
      </bottom>
      <diagonal/>
    </border>
    <border>
      <left style="medium">
        <color indexed="64"/>
      </left>
      <right style="medium">
        <color rgb="FF41414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414142"/>
      </right>
      <top style="medium">
        <color indexed="64"/>
      </top>
      <bottom style="medium">
        <color indexed="64"/>
      </bottom>
      <diagonal/>
    </border>
    <border>
      <left/>
      <right style="medium">
        <color rgb="FF41414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414142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rgb="FF414142"/>
      </right>
      <top/>
      <bottom style="medium">
        <color indexed="64"/>
      </bottom>
      <diagonal/>
    </border>
    <border>
      <left/>
      <right style="medium">
        <color rgb="FF414142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</cellStyleXfs>
  <cellXfs count="1189">
    <xf numFmtId="0" fontId="0" fillId="0" borderId="0" xfId="0"/>
    <xf numFmtId="0" fontId="5" fillId="0" borderId="0" xfId="0" applyFont="1"/>
    <xf numFmtId="0" fontId="7" fillId="0" borderId="24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1" fontId="9" fillId="0" borderId="30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10" fillId="0" borderId="0" xfId="0" applyFont="1"/>
    <xf numFmtId="2" fontId="9" fillId="0" borderId="33" xfId="0" applyNumberFormat="1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 wrapText="1"/>
    </xf>
    <xf numFmtId="2" fontId="9" fillId="0" borderId="36" xfId="0" applyNumberFormat="1" applyFont="1" applyBorder="1" applyAlignment="1">
      <alignment horizontal="center" vertical="center"/>
    </xf>
    <xf numFmtId="1" fontId="9" fillId="0" borderId="36" xfId="0" applyNumberFormat="1" applyFont="1" applyBorder="1" applyAlignment="1">
      <alignment horizontal="center" vertical="center"/>
    </xf>
    <xf numFmtId="164" fontId="9" fillId="0" borderId="36" xfId="0" applyNumberFormat="1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2" fontId="9" fillId="0" borderId="39" xfId="0" applyNumberFormat="1" applyFont="1" applyBorder="1" applyAlignment="1">
      <alignment horizontal="center" vertical="center"/>
    </xf>
    <xf numFmtId="1" fontId="9" fillId="0" borderId="39" xfId="0" applyNumberFormat="1" applyFont="1" applyBorder="1" applyAlignment="1">
      <alignment horizontal="center" vertical="center"/>
    </xf>
    <xf numFmtId="164" fontId="9" fillId="0" borderId="39" xfId="0" applyNumberFormat="1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2" fontId="9" fillId="0" borderId="30" xfId="0" applyNumberFormat="1" applyFont="1" applyBorder="1" applyAlignment="1">
      <alignment horizontal="center" vertical="center"/>
    </xf>
    <xf numFmtId="1" fontId="9" fillId="0" borderId="30" xfId="0" applyNumberFormat="1" applyFont="1" applyBorder="1" applyAlignment="1">
      <alignment horizontal="center" vertical="center"/>
    </xf>
    <xf numFmtId="164" fontId="9" fillId="0" borderId="30" xfId="0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 wrapText="1"/>
    </xf>
    <xf numFmtId="2" fontId="9" fillId="0" borderId="42" xfId="0" applyNumberFormat="1" applyFont="1" applyBorder="1" applyAlignment="1">
      <alignment horizontal="center" vertical="center"/>
    </xf>
    <xf numFmtId="1" fontId="9" fillId="0" borderId="42" xfId="0" applyNumberFormat="1" applyFont="1" applyBorder="1" applyAlignment="1">
      <alignment horizontal="center" vertical="center"/>
    </xf>
    <xf numFmtId="164" fontId="9" fillId="0" borderId="42" xfId="0" applyNumberFormat="1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 wrapText="1"/>
    </xf>
    <xf numFmtId="164" fontId="9" fillId="0" borderId="42" xfId="0" applyNumberFormat="1" applyFont="1" applyBorder="1" applyAlignment="1">
      <alignment horizontal="center" vertical="center" wrapText="1"/>
    </xf>
    <xf numFmtId="164" fontId="9" fillId="0" borderId="36" xfId="0" applyNumberFormat="1" applyFont="1" applyBorder="1" applyAlignment="1">
      <alignment horizontal="center" vertical="center" wrapText="1"/>
    </xf>
    <xf numFmtId="164" fontId="9" fillId="0" borderId="39" xfId="0" applyNumberFormat="1" applyFont="1" applyBorder="1" applyAlignment="1">
      <alignment horizontal="center" vertical="center" wrapText="1"/>
    </xf>
    <xf numFmtId="164" fontId="9" fillId="0" borderId="30" xfId="0" applyNumberFormat="1" applyFont="1" applyBorder="1" applyAlignment="1">
      <alignment horizontal="center" vertical="center" wrapText="1"/>
    </xf>
    <xf numFmtId="2" fontId="11" fillId="0" borderId="29" xfId="0" applyNumberFormat="1" applyFont="1" applyBorder="1" applyAlignment="1">
      <alignment horizontal="center" vertical="center" wrapText="1"/>
    </xf>
    <xf numFmtId="2" fontId="9" fillId="0" borderId="30" xfId="0" applyNumberFormat="1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2" fontId="9" fillId="0" borderId="42" xfId="0" applyNumberFormat="1" applyFont="1" applyBorder="1" applyAlignment="1">
      <alignment horizontal="center" vertical="center" wrapText="1"/>
    </xf>
    <xf numFmtId="1" fontId="9" fillId="0" borderId="42" xfId="0" applyNumberFormat="1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2" fontId="9" fillId="0" borderId="39" xfId="0" applyNumberFormat="1" applyFont="1" applyBorder="1" applyAlignment="1">
      <alignment horizontal="center" vertical="center" wrapText="1"/>
    </xf>
    <xf numFmtId="1" fontId="9" fillId="0" borderId="39" xfId="0" applyNumberFormat="1" applyFont="1" applyBorder="1" applyAlignment="1">
      <alignment horizontal="center" vertical="center" wrapText="1"/>
    </xf>
    <xf numFmtId="2" fontId="9" fillId="0" borderId="36" xfId="0" applyNumberFormat="1" applyFont="1" applyBorder="1" applyAlignment="1">
      <alignment horizontal="center" vertical="center" wrapText="1"/>
    </xf>
    <xf numFmtId="1" fontId="9" fillId="0" borderId="3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2" fontId="9" fillId="0" borderId="44" xfId="0" applyNumberFormat="1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/>
    </xf>
    <xf numFmtId="2" fontId="9" fillId="0" borderId="45" xfId="0" applyNumberFormat="1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wrapText="1"/>
    </xf>
    <xf numFmtId="0" fontId="9" fillId="0" borderId="36" xfId="0" applyFont="1" applyBorder="1" applyAlignment="1">
      <alignment wrapText="1"/>
    </xf>
    <xf numFmtId="0" fontId="5" fillId="0" borderId="0" xfId="0" applyFont="1" applyAlignment="1">
      <alignment wrapText="1"/>
    </xf>
    <xf numFmtId="0" fontId="11" fillId="0" borderId="24" xfId="2" applyFont="1" applyBorder="1" applyAlignment="1">
      <alignment horizontal="center" vertical="center" wrapText="1"/>
    </xf>
    <xf numFmtId="0" fontId="9" fillId="0" borderId="29" xfId="2" applyFont="1" applyBorder="1" applyAlignment="1">
      <alignment horizontal="center" vertical="center" wrapText="1"/>
    </xf>
    <xf numFmtId="0" fontId="9" fillId="0" borderId="30" xfId="2" applyFont="1" applyBorder="1" applyAlignment="1">
      <alignment horizontal="center" vertical="center" wrapText="1"/>
    </xf>
    <xf numFmtId="0" fontId="9" fillId="0" borderId="31" xfId="2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 wrapText="1"/>
    </xf>
    <xf numFmtId="2" fontId="9" fillId="0" borderId="45" xfId="0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2" fontId="9" fillId="0" borderId="44" xfId="0" applyNumberFormat="1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7" fillId="0" borderId="0" xfId="0" applyFont="1"/>
    <xf numFmtId="0" fontId="9" fillId="2" borderId="30" xfId="0" applyFont="1" applyFill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2" fontId="9" fillId="0" borderId="33" xfId="0" applyNumberFormat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2" fontId="11" fillId="0" borderId="48" xfId="0" applyNumberFormat="1" applyFont="1" applyBorder="1" applyAlignment="1">
      <alignment horizontal="center" vertical="center" wrapText="1"/>
    </xf>
    <xf numFmtId="1" fontId="9" fillId="0" borderId="45" xfId="0" applyNumberFormat="1" applyFont="1" applyBorder="1" applyAlignment="1">
      <alignment horizontal="center" vertical="center" wrapText="1"/>
    </xf>
    <xf numFmtId="1" fontId="9" fillId="0" borderId="44" xfId="0" applyNumberFormat="1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/>
    </xf>
    <xf numFmtId="2" fontId="9" fillId="0" borderId="51" xfId="0" applyNumberFormat="1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42" xfId="0" quotePrefix="1" applyFont="1" applyBorder="1" applyAlignment="1">
      <alignment horizontal="center" vertical="center" wrapText="1"/>
    </xf>
    <xf numFmtId="0" fontId="9" fillId="0" borderId="36" xfId="0" quotePrefix="1" applyFont="1" applyBorder="1" applyAlignment="1">
      <alignment horizontal="center" vertical="center" wrapText="1"/>
    </xf>
    <xf numFmtId="0" fontId="9" fillId="0" borderId="39" xfId="0" quotePrefix="1" applyFont="1" applyBorder="1" applyAlignment="1">
      <alignment horizontal="center" vertical="center" wrapText="1"/>
    </xf>
    <xf numFmtId="0" fontId="9" fillId="0" borderId="30" xfId="0" quotePrefix="1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9" fillId="2" borderId="67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9" fillId="2" borderId="69" xfId="0" applyFont="1" applyFill="1" applyBorder="1" applyAlignment="1">
      <alignment horizontal="center" vertical="center" wrapText="1"/>
    </xf>
    <xf numFmtId="0" fontId="9" fillId="2" borderId="70" xfId="0" applyFont="1" applyFill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71" xfId="0" applyFont="1" applyBorder="1" applyAlignment="1">
      <alignment horizontal="center" vertical="center" wrapText="1"/>
    </xf>
    <xf numFmtId="1" fontId="11" fillId="0" borderId="29" xfId="0" applyNumberFormat="1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2" fontId="9" fillId="0" borderId="31" xfId="0" applyNumberFormat="1" applyFont="1" applyBorder="1" applyAlignment="1">
      <alignment horizontal="center" vertical="center" wrapText="1"/>
    </xf>
    <xf numFmtId="0" fontId="9" fillId="0" borderId="68" xfId="0" applyFont="1" applyBorder="1" applyAlignment="1">
      <alignment horizontal="center" vertical="center" wrapText="1"/>
    </xf>
    <xf numFmtId="165" fontId="9" fillId="0" borderId="42" xfId="0" applyNumberFormat="1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 wrapText="1"/>
    </xf>
    <xf numFmtId="165" fontId="9" fillId="0" borderId="30" xfId="0" applyNumberFormat="1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/>
    </xf>
    <xf numFmtId="0" fontId="11" fillId="0" borderId="75" xfId="0" applyFont="1" applyBorder="1" applyAlignment="1">
      <alignment horizontal="center" vertical="center"/>
    </xf>
    <xf numFmtId="0" fontId="9" fillId="0" borderId="76" xfId="0" applyFont="1" applyBorder="1" applyAlignment="1">
      <alignment horizontal="center" vertical="center" wrapText="1"/>
    </xf>
    <xf numFmtId="2" fontId="9" fillId="0" borderId="71" xfId="0" applyNumberFormat="1" applyFont="1" applyBorder="1" applyAlignment="1">
      <alignment horizontal="center" vertical="center"/>
    </xf>
    <xf numFmtId="2" fontId="9" fillId="0" borderId="77" xfId="0" applyNumberFormat="1" applyFont="1" applyBorder="1" applyAlignment="1">
      <alignment horizontal="center" vertical="center"/>
    </xf>
    <xf numFmtId="0" fontId="9" fillId="0" borderId="77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79" xfId="0" applyFont="1" applyBorder="1" applyAlignment="1">
      <alignment horizontal="center" vertical="center" wrapText="1"/>
    </xf>
    <xf numFmtId="1" fontId="9" fillId="0" borderId="68" xfId="0" applyNumberFormat="1" applyFont="1" applyBorder="1" applyAlignment="1">
      <alignment horizontal="center" vertical="center"/>
    </xf>
    <xf numFmtId="0" fontId="20" fillId="0" borderId="0" xfId="0" applyFont="1"/>
    <xf numFmtId="0" fontId="11" fillId="0" borderId="24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0" xfId="0" applyFont="1"/>
    <xf numFmtId="164" fontId="21" fillId="0" borderId="33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164" fontId="21" fillId="0" borderId="39" xfId="0" applyNumberFormat="1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/>
    </xf>
    <xf numFmtId="164" fontId="21" fillId="0" borderId="30" xfId="0" applyNumberFormat="1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4" fillId="0" borderId="0" xfId="0" applyFont="1"/>
    <xf numFmtId="164" fontId="21" fillId="0" borderId="42" xfId="0" applyNumberFormat="1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 wrapText="1"/>
    </xf>
    <xf numFmtId="3" fontId="21" fillId="0" borderId="39" xfId="0" applyNumberFormat="1" applyFont="1" applyBorder="1" applyAlignment="1">
      <alignment horizontal="center" vertical="center" wrapText="1"/>
    </xf>
    <xf numFmtId="164" fontId="21" fillId="0" borderId="30" xfId="0" applyNumberFormat="1" applyFont="1" applyBorder="1" applyAlignment="1">
      <alignment horizontal="center" vertical="center" wrapText="1"/>
    </xf>
    <xf numFmtId="3" fontId="21" fillId="0" borderId="30" xfId="0" applyNumberFormat="1" applyFont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/>
    </xf>
    <xf numFmtId="3" fontId="21" fillId="0" borderId="42" xfId="0" applyNumberFormat="1" applyFont="1" applyBorder="1" applyAlignment="1">
      <alignment horizontal="center" vertical="center" wrapText="1"/>
    </xf>
    <xf numFmtId="164" fontId="21" fillId="0" borderId="36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3" fontId="21" fillId="0" borderId="3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7" fillId="2" borderId="24" xfId="0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21" fillId="2" borderId="30" xfId="0" applyFont="1" applyFill="1" applyBorder="1" applyAlignment="1">
      <alignment horizontal="center" vertical="center" wrapText="1"/>
    </xf>
    <xf numFmtId="0" fontId="21" fillId="2" borderId="71" xfId="0" applyFont="1" applyFill="1" applyBorder="1" applyAlignment="1">
      <alignment horizontal="center" vertical="center" wrapText="1"/>
    </xf>
    <xf numFmtId="0" fontId="29" fillId="0" borderId="31" xfId="0" applyFont="1" applyBorder="1"/>
    <xf numFmtId="0" fontId="29" fillId="0" borderId="0" xfId="0" applyFont="1"/>
    <xf numFmtId="0" fontId="11" fillId="0" borderId="30" xfId="3" applyFont="1" applyBorder="1" applyAlignment="1">
      <alignment horizontal="center" vertical="center" wrapText="1"/>
    </xf>
    <xf numFmtId="2" fontId="21" fillId="0" borderId="30" xfId="3" applyNumberFormat="1" applyFont="1" applyBorder="1" applyAlignment="1">
      <alignment horizontal="center" vertical="center" wrapText="1"/>
    </xf>
    <xf numFmtId="2" fontId="9" fillId="0" borderId="30" xfId="3" applyNumberFormat="1" applyFont="1" applyBorder="1" applyAlignment="1">
      <alignment horizontal="center" vertical="center" wrapText="1"/>
    </xf>
    <xf numFmtId="1" fontId="21" fillId="0" borderId="30" xfId="3" applyNumberFormat="1" applyFont="1" applyBorder="1" applyAlignment="1">
      <alignment horizontal="center" vertical="center" wrapText="1"/>
    </xf>
    <xf numFmtId="0" fontId="0" fillId="0" borderId="31" xfId="0" applyBorder="1"/>
    <xf numFmtId="2" fontId="21" fillId="0" borderId="30" xfId="0" applyNumberFormat="1" applyFont="1" applyBorder="1" applyAlignment="1">
      <alignment horizontal="center" vertical="center" wrapText="1"/>
    </xf>
    <xf numFmtId="1" fontId="21" fillId="0" borderId="30" xfId="0" applyNumberFormat="1" applyFont="1" applyBorder="1" applyAlignment="1">
      <alignment horizontal="center" vertical="center" wrapText="1"/>
    </xf>
    <xf numFmtId="2" fontId="21" fillId="2" borderId="42" xfId="0" applyNumberFormat="1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0" fillId="0" borderId="43" xfId="0" applyBorder="1"/>
    <xf numFmtId="2" fontId="21" fillId="2" borderId="36" xfId="0" applyNumberFormat="1" applyFont="1" applyFill="1" applyBorder="1" applyAlignment="1">
      <alignment horizontal="center" vertical="center" wrapText="1"/>
    </xf>
    <xf numFmtId="0" fontId="21" fillId="2" borderId="36" xfId="0" applyFont="1" applyFill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 wrapText="1"/>
    </xf>
    <xf numFmtId="0" fontId="0" fillId="0" borderId="37" xfId="0" applyBorder="1"/>
    <xf numFmtId="2" fontId="21" fillId="2" borderId="39" xfId="0" applyNumberFormat="1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0" fillId="0" borderId="40" xfId="0" applyBorder="1"/>
    <xf numFmtId="0" fontId="23" fillId="0" borderId="30" xfId="0" applyFont="1" applyBorder="1" applyAlignment="1">
      <alignment horizontal="center" vertical="center" wrapText="1"/>
    </xf>
    <xf numFmtId="2" fontId="21" fillId="2" borderId="33" xfId="0" applyNumberFormat="1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center" wrapText="1"/>
    </xf>
    <xf numFmtId="2" fontId="21" fillId="2" borderId="45" xfId="0" applyNumberFormat="1" applyFont="1" applyFill="1" applyBorder="1" applyAlignment="1">
      <alignment horizontal="center" vertical="center" wrapText="1"/>
    </xf>
    <xf numFmtId="0" fontId="23" fillId="2" borderId="39" xfId="0" applyFont="1" applyFill="1" applyBorder="1" applyAlignment="1">
      <alignment horizontal="center" vertical="center" wrapText="1"/>
    </xf>
    <xf numFmtId="2" fontId="21" fillId="0" borderId="42" xfId="0" applyNumberFormat="1" applyFont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2" fontId="21" fillId="0" borderId="45" xfId="0" applyNumberFormat="1" applyFont="1" applyBorder="1" applyAlignment="1">
      <alignment horizontal="center" vertical="center" wrapText="1"/>
    </xf>
    <xf numFmtId="2" fontId="21" fillId="0" borderId="39" xfId="0" applyNumberFormat="1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2" fontId="21" fillId="2" borderId="30" xfId="0" applyNumberFormat="1" applyFont="1" applyFill="1" applyBorder="1" applyAlignment="1">
      <alignment horizontal="center" vertical="center" wrapText="1"/>
    </xf>
    <xf numFmtId="2" fontId="23" fillId="2" borderId="30" xfId="0" applyNumberFormat="1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1" fillId="0" borderId="71" xfId="0" applyFont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58" xfId="0" applyFont="1" applyFill="1" applyBorder="1" applyAlignment="1">
      <alignment horizontal="center" vertical="center" wrapText="1"/>
    </xf>
    <xf numFmtId="0" fontId="21" fillId="2" borderId="58" xfId="0" applyFont="1" applyFill="1" applyBorder="1" applyAlignment="1">
      <alignment horizontal="center" vertical="center"/>
    </xf>
    <xf numFmtId="0" fontId="9" fillId="0" borderId="62" xfId="0" applyFont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/>
    </xf>
    <xf numFmtId="0" fontId="11" fillId="0" borderId="46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2" fontId="21" fillId="0" borderId="33" xfId="0" applyNumberFormat="1" applyFont="1" applyBorder="1" applyAlignment="1">
      <alignment horizontal="center" vertical="center" wrapText="1"/>
    </xf>
    <xf numFmtId="2" fontId="21" fillId="0" borderId="36" xfId="0" applyNumberFormat="1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2" fontId="21" fillId="0" borderId="36" xfId="0" applyNumberFormat="1" applyFont="1" applyBorder="1" applyAlignment="1">
      <alignment horizontal="center" vertical="center"/>
    </xf>
    <xf numFmtId="2" fontId="21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3" fillId="2" borderId="30" xfId="0" applyFont="1" applyFill="1" applyBorder="1" applyAlignment="1">
      <alignment horizontal="center" vertical="center" wrapText="1"/>
    </xf>
    <xf numFmtId="2" fontId="9" fillId="2" borderId="42" xfId="0" applyNumberFormat="1" applyFont="1" applyFill="1" applyBorder="1" applyAlignment="1">
      <alignment horizontal="center" vertical="center" wrapText="1"/>
    </xf>
    <xf numFmtId="2" fontId="9" fillId="2" borderId="36" xfId="0" applyNumberFormat="1" applyFont="1" applyFill="1" applyBorder="1" applyAlignment="1">
      <alignment horizontal="center" vertical="center" wrapText="1"/>
    </xf>
    <xf numFmtId="0" fontId="21" fillId="2" borderId="51" xfId="0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9" fillId="2" borderId="45" xfId="0" applyNumberFormat="1" applyFont="1" applyFill="1" applyBorder="1" applyAlignment="1">
      <alignment horizontal="center" vertical="center" wrapText="1"/>
    </xf>
    <xf numFmtId="0" fontId="21" fillId="2" borderId="45" xfId="0" applyFont="1" applyFill="1" applyBorder="1" applyAlignment="1">
      <alignment horizontal="center" vertical="center" wrapText="1"/>
    </xf>
    <xf numFmtId="2" fontId="23" fillId="2" borderId="42" xfId="0" applyNumberFormat="1" applyFont="1" applyFill="1" applyBorder="1" applyAlignment="1">
      <alignment vertical="center" wrapText="1"/>
    </xf>
    <xf numFmtId="0" fontId="21" fillId="2" borderId="42" xfId="0" applyFont="1" applyFill="1" applyBorder="1" applyAlignment="1">
      <alignment vertical="center" wrapText="1"/>
    </xf>
    <xf numFmtId="2" fontId="23" fillId="2" borderId="36" xfId="0" applyNumberFormat="1" applyFont="1" applyFill="1" applyBorder="1" applyAlignment="1">
      <alignment vertical="center" wrapText="1"/>
    </xf>
    <xf numFmtId="0" fontId="21" fillId="2" borderId="36" xfId="0" applyFont="1" applyFill="1" applyBorder="1" applyAlignment="1">
      <alignment vertical="center" wrapText="1"/>
    </xf>
    <xf numFmtId="2" fontId="23" fillId="2" borderId="36" xfId="0" applyNumberFormat="1" applyFont="1" applyFill="1" applyBorder="1" applyAlignment="1">
      <alignment horizontal="center" vertical="center" wrapText="1"/>
    </xf>
    <xf numFmtId="2" fontId="23" fillId="2" borderId="39" xfId="0" applyNumberFormat="1" applyFont="1" applyFill="1" applyBorder="1" applyAlignment="1">
      <alignment horizontal="center" vertical="center" wrapText="1"/>
    </xf>
    <xf numFmtId="2" fontId="21" fillId="2" borderId="58" xfId="0" applyNumberFormat="1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5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2" fontId="9" fillId="2" borderId="30" xfId="0" applyNumberFormat="1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25" fillId="0" borderId="0" xfId="0" applyFont="1" applyAlignment="1">
      <alignment wrapText="1"/>
    </xf>
    <xf numFmtId="0" fontId="4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29" fillId="0" borderId="0" xfId="2" applyFont="1" applyAlignment="1">
      <alignment horizontal="center" vertical="center"/>
    </xf>
    <xf numFmtId="0" fontId="9" fillId="0" borderId="33" xfId="2" applyFont="1" applyBorder="1" applyAlignment="1">
      <alignment horizontal="center" vertical="center"/>
    </xf>
    <xf numFmtId="2" fontId="9" fillId="0" borderId="33" xfId="2" applyNumberFormat="1" applyFont="1" applyBorder="1" applyAlignment="1">
      <alignment horizontal="center" vertical="center"/>
    </xf>
    <xf numFmtId="2" fontId="9" fillId="0" borderId="39" xfId="4" applyNumberFormat="1" applyFont="1" applyBorder="1" applyAlignment="1">
      <alignment horizontal="center" vertical="center" wrapText="1"/>
    </xf>
    <xf numFmtId="0" fontId="9" fillId="0" borderId="39" xfId="2" applyFont="1" applyBorder="1" applyAlignment="1">
      <alignment horizontal="center" vertical="center"/>
    </xf>
    <xf numFmtId="2" fontId="9" fillId="0" borderId="39" xfId="2" applyNumberFormat="1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1" fillId="0" borderId="30" xfId="4" applyFont="1" applyBorder="1" applyAlignment="1">
      <alignment horizontal="center" vertical="center" wrapText="1"/>
    </xf>
    <xf numFmtId="2" fontId="9" fillId="0" borderId="30" xfId="4" applyNumberFormat="1" applyFont="1" applyBorder="1" applyAlignment="1">
      <alignment horizontal="center" vertical="center" wrapText="1"/>
    </xf>
    <xf numFmtId="0" fontId="9" fillId="0" borderId="30" xfId="2" applyFont="1" applyBorder="1" applyAlignment="1">
      <alignment horizontal="center" vertical="center"/>
    </xf>
    <xf numFmtId="0" fontId="9" fillId="0" borderId="30" xfId="4" applyFont="1" applyBorder="1" applyAlignment="1">
      <alignment horizontal="center" vertical="center"/>
    </xf>
    <xf numFmtId="2" fontId="9" fillId="0" borderId="30" xfId="2" applyNumberFormat="1" applyFont="1" applyBorder="1" applyAlignment="1">
      <alignment horizontal="center" vertical="center"/>
    </xf>
    <xf numFmtId="3" fontId="9" fillId="0" borderId="30" xfId="2" applyNumberFormat="1" applyFont="1" applyBorder="1" applyAlignment="1">
      <alignment horizontal="center" vertical="center"/>
    </xf>
    <xf numFmtId="3" fontId="9" fillId="0" borderId="30" xfId="2" applyNumberFormat="1" applyFont="1" applyBorder="1" applyAlignment="1">
      <alignment horizontal="center" vertical="center" wrapText="1"/>
    </xf>
    <xf numFmtId="2" fontId="9" fillId="0" borderId="30" xfId="4" applyNumberFormat="1" applyFont="1" applyBorder="1" applyAlignment="1">
      <alignment horizontal="center" vertical="center"/>
    </xf>
    <xf numFmtId="0" fontId="9" fillId="0" borderId="31" xfId="2" applyFont="1" applyBorder="1" applyAlignment="1">
      <alignment horizontal="center" vertical="center" wrapText="1"/>
    </xf>
    <xf numFmtId="2" fontId="9" fillId="0" borderId="42" xfId="4" applyNumberFormat="1" applyFont="1" applyBorder="1" applyAlignment="1">
      <alignment horizontal="center" vertical="center" wrapText="1"/>
    </xf>
    <xf numFmtId="0" fontId="9" fillId="0" borderId="42" xfId="2" applyFont="1" applyBorder="1" applyAlignment="1">
      <alignment horizontal="center" vertical="center"/>
    </xf>
    <xf numFmtId="2" fontId="9" fillId="0" borderId="42" xfId="2" applyNumberFormat="1" applyFont="1" applyBorder="1" applyAlignment="1">
      <alignment horizontal="center" vertical="center"/>
    </xf>
    <xf numFmtId="0" fontId="11" fillId="0" borderId="30" xfId="2" applyFont="1" applyBorder="1" applyAlignment="1">
      <alignment horizontal="center" vertical="center"/>
    </xf>
    <xf numFmtId="2" fontId="9" fillId="0" borderId="30" xfId="2" applyNumberFormat="1" applyFont="1" applyBorder="1" applyAlignment="1">
      <alignment horizontal="center" vertical="center" wrapText="1"/>
    </xf>
    <xf numFmtId="0" fontId="11" fillId="0" borderId="30" xfId="2" applyFont="1" applyBorder="1" applyAlignment="1">
      <alignment horizontal="center" vertical="center" wrapText="1"/>
    </xf>
    <xf numFmtId="2" fontId="9" fillId="0" borderId="42" xfId="2" applyNumberFormat="1" applyFont="1" applyBorder="1" applyAlignment="1">
      <alignment horizontal="center" vertical="center" wrapText="1"/>
    </xf>
    <xf numFmtId="2" fontId="9" fillId="0" borderId="36" xfId="2" applyNumberFormat="1" applyFont="1" applyBorder="1" applyAlignment="1">
      <alignment horizontal="center" vertical="center"/>
    </xf>
    <xf numFmtId="2" fontId="9" fillId="0" borderId="36" xfId="2" applyNumberFormat="1" applyFont="1" applyBorder="1" applyAlignment="1">
      <alignment horizontal="center" vertical="center" wrapText="1"/>
    </xf>
    <xf numFmtId="0" fontId="9" fillId="0" borderId="36" xfId="2" applyFont="1" applyBorder="1" applyAlignment="1">
      <alignment horizontal="center" vertical="center"/>
    </xf>
    <xf numFmtId="2" fontId="9" fillId="0" borderId="39" xfId="2" applyNumberFormat="1" applyFont="1" applyBorder="1" applyAlignment="1">
      <alignment horizontal="center" vertical="center" wrapText="1"/>
    </xf>
    <xf numFmtId="0" fontId="9" fillId="0" borderId="42" xfId="2" applyFont="1" applyBorder="1" applyAlignment="1">
      <alignment horizontal="center" vertical="center" wrapText="1"/>
    </xf>
    <xf numFmtId="0" fontId="9" fillId="0" borderId="39" xfId="2" applyFont="1" applyBorder="1" applyAlignment="1">
      <alignment horizontal="center" vertical="center" wrapText="1"/>
    </xf>
    <xf numFmtId="164" fontId="9" fillId="0" borderId="42" xfId="2" applyNumberFormat="1" applyFont="1" applyBorder="1" applyAlignment="1">
      <alignment horizontal="center" vertical="center" wrapText="1"/>
    </xf>
    <xf numFmtId="0" fontId="9" fillId="0" borderId="36" xfId="2" applyFont="1" applyBorder="1" applyAlignment="1">
      <alignment horizontal="center" vertical="center" wrapText="1"/>
    </xf>
    <xf numFmtId="49" fontId="9" fillId="0" borderId="36" xfId="2" applyNumberFormat="1" applyFont="1" applyBorder="1" applyAlignment="1">
      <alignment horizontal="center" vertical="center"/>
    </xf>
    <xf numFmtId="165" fontId="9" fillId="0" borderId="42" xfId="2" applyNumberFormat="1" applyFont="1" applyBorder="1" applyAlignment="1">
      <alignment horizontal="center" vertical="center"/>
    </xf>
    <xf numFmtId="164" fontId="9" fillId="0" borderId="39" xfId="2" applyNumberFormat="1" applyFont="1" applyBorder="1" applyAlignment="1">
      <alignment horizontal="center" vertical="center"/>
    </xf>
    <xf numFmtId="0" fontId="11" fillId="0" borderId="51" xfId="2" applyFont="1" applyBorder="1" applyAlignment="1">
      <alignment horizontal="center" vertical="center"/>
    </xf>
    <xf numFmtId="0" fontId="11" fillId="0" borderId="51" xfId="2" applyFont="1" applyBorder="1" applyAlignment="1">
      <alignment horizontal="center" vertical="center" wrapText="1"/>
    </xf>
    <xf numFmtId="2" fontId="9" fillId="0" borderId="51" xfId="2" applyNumberFormat="1" applyFont="1" applyBorder="1" applyAlignment="1">
      <alignment horizontal="center" vertical="center" wrapText="1"/>
    </xf>
    <xf numFmtId="0" fontId="9" fillId="0" borderId="51" xfId="2" applyFont="1" applyBorder="1" applyAlignment="1">
      <alignment horizontal="center" vertical="center"/>
    </xf>
    <xf numFmtId="0" fontId="9" fillId="0" borderId="80" xfId="2" applyFont="1" applyBorder="1" applyAlignment="1">
      <alignment horizontal="center" vertical="center"/>
    </xf>
    <xf numFmtId="0" fontId="9" fillId="0" borderId="46" xfId="2" applyFont="1" applyBorder="1" applyAlignment="1">
      <alignment horizontal="center" vertical="center"/>
    </xf>
    <xf numFmtId="0" fontId="9" fillId="0" borderId="44" xfId="2" applyFont="1" applyBorder="1" applyAlignment="1">
      <alignment horizontal="center" vertical="center"/>
    </xf>
    <xf numFmtId="2" fontId="9" fillId="0" borderId="44" xfId="2" applyNumberFormat="1" applyFont="1" applyBorder="1" applyAlignment="1">
      <alignment horizontal="center" vertical="center" wrapText="1"/>
    </xf>
    <xf numFmtId="3" fontId="9" fillId="0" borderId="44" xfId="2" applyNumberFormat="1" applyFont="1" applyBorder="1" applyAlignment="1">
      <alignment horizontal="center" vertical="center"/>
    </xf>
    <xf numFmtId="3" fontId="9" fillId="0" borderId="44" xfId="2" applyNumberFormat="1" applyFont="1" applyBorder="1" applyAlignment="1">
      <alignment horizontal="center" vertical="center" wrapText="1"/>
    </xf>
    <xf numFmtId="0" fontId="9" fillId="0" borderId="47" xfId="2" applyFont="1" applyBorder="1" applyAlignment="1">
      <alignment horizontal="center" vertical="center"/>
    </xf>
    <xf numFmtId="0" fontId="9" fillId="3" borderId="42" xfId="2" applyFont="1" applyFill="1" applyBorder="1" applyAlignment="1">
      <alignment horizontal="center" vertical="center" wrapText="1"/>
    </xf>
    <xf numFmtId="0" fontId="9" fillId="3" borderId="36" xfId="2" applyFont="1" applyFill="1" applyBorder="1" applyAlignment="1">
      <alignment horizontal="center" vertical="center" wrapText="1"/>
    </xf>
    <xf numFmtId="0" fontId="9" fillId="3" borderId="39" xfId="2" applyFont="1" applyFill="1" applyBorder="1" applyAlignment="1">
      <alignment horizontal="center" vertical="center" wrapText="1"/>
    </xf>
    <xf numFmtId="1" fontId="9" fillId="0" borderId="42" xfId="2" applyNumberFormat="1" applyFont="1" applyBorder="1" applyAlignment="1">
      <alignment horizontal="center" vertical="center"/>
    </xf>
    <xf numFmtId="1" fontId="9" fillId="0" borderId="39" xfId="2" applyNumberFormat="1" applyFont="1" applyBorder="1" applyAlignment="1">
      <alignment horizontal="center" vertical="center"/>
    </xf>
    <xf numFmtId="49" fontId="9" fillId="0" borderId="30" xfId="2" applyNumberFormat="1" applyFont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center" vertical="center" wrapText="1"/>
    </xf>
    <xf numFmtId="0" fontId="31" fillId="0" borderId="0" xfId="2" applyFont="1" applyAlignment="1">
      <alignment horizontal="center" vertical="center" wrapText="1"/>
    </xf>
    <xf numFmtId="0" fontId="4" fillId="0" borderId="0" xfId="2" applyFont="1" applyAlignment="1">
      <alignment vertical="center" wrapText="1"/>
    </xf>
    <xf numFmtId="2" fontId="4" fillId="0" borderId="0" xfId="2" applyNumberFormat="1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32" fillId="0" borderId="0" xfId="2" applyFont="1" applyAlignment="1">
      <alignment horizontal="center" vertical="center"/>
    </xf>
    <xf numFmtId="0" fontId="33" fillId="0" borderId="0" xfId="2" applyFont="1" applyAlignment="1">
      <alignment horizontal="center" vertical="center"/>
    </xf>
    <xf numFmtId="0" fontId="34" fillId="0" borderId="0" xfId="0" applyFont="1"/>
    <xf numFmtId="0" fontId="35" fillId="0" borderId="0" xfId="2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0" fillId="0" borderId="0" xfId="2" applyFont="1"/>
    <xf numFmtId="0" fontId="20" fillId="0" borderId="0" xfId="2" applyFont="1" applyAlignment="1">
      <alignment horizontal="center" vertical="center"/>
    </xf>
    <xf numFmtId="0" fontId="7" fillId="0" borderId="24" xfId="2" applyFont="1" applyBorder="1" applyAlignment="1">
      <alignment horizontal="center" vertical="center" wrapText="1"/>
    </xf>
    <xf numFmtId="0" fontId="9" fillId="0" borderId="33" xfId="2" applyFont="1" applyBorder="1" applyAlignment="1">
      <alignment horizontal="center" vertical="center" wrapText="1"/>
    </xf>
    <xf numFmtId="49" fontId="9" fillId="0" borderId="33" xfId="2" applyNumberFormat="1" applyFont="1" applyBorder="1" applyAlignment="1">
      <alignment horizontal="center" vertical="center"/>
    </xf>
    <xf numFmtId="49" fontId="9" fillId="0" borderId="39" xfId="2" applyNumberFormat="1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 wrapText="1"/>
    </xf>
    <xf numFmtId="49" fontId="9" fillId="0" borderId="42" xfId="2" applyNumberFormat="1" applyFont="1" applyBorder="1" applyAlignment="1">
      <alignment horizontal="center" vertical="center"/>
    </xf>
    <xf numFmtId="0" fontId="24" fillId="0" borderId="0" xfId="2" applyFont="1" applyAlignment="1">
      <alignment wrapText="1"/>
    </xf>
    <xf numFmtId="2" fontId="9" fillId="0" borderId="42" xfId="5" applyNumberFormat="1" applyFont="1" applyBorder="1" applyAlignment="1">
      <alignment horizontal="center" vertical="center"/>
    </xf>
    <xf numFmtId="2" fontId="9" fillId="0" borderId="42" xfId="5" applyNumberFormat="1" applyFont="1" applyBorder="1" applyAlignment="1">
      <alignment horizontal="center" vertical="center" wrapText="1"/>
    </xf>
    <xf numFmtId="3" fontId="9" fillId="0" borderId="42" xfId="2" applyNumberFormat="1" applyFont="1" applyBorder="1" applyAlignment="1">
      <alignment vertical="center"/>
    </xf>
    <xf numFmtId="2" fontId="9" fillId="0" borderId="39" xfId="5" applyNumberFormat="1" applyFont="1" applyBorder="1" applyAlignment="1">
      <alignment horizontal="center" vertical="center"/>
    </xf>
    <xf numFmtId="2" fontId="9" fillId="0" borderId="39" xfId="5" applyNumberFormat="1" applyFont="1" applyBorder="1" applyAlignment="1">
      <alignment horizontal="center" vertical="center" wrapText="1"/>
    </xf>
    <xf numFmtId="3" fontId="9" fillId="0" borderId="39" xfId="2" applyNumberFormat="1" applyFont="1" applyBorder="1" applyAlignment="1">
      <alignment vertical="center"/>
    </xf>
    <xf numFmtId="1" fontId="9" fillId="0" borderId="42" xfId="2" applyNumberFormat="1" applyFont="1" applyBorder="1" applyAlignment="1">
      <alignment horizontal="center" vertical="center" wrapText="1"/>
    </xf>
    <xf numFmtId="1" fontId="9" fillId="0" borderId="39" xfId="2" applyNumberFormat="1" applyFont="1" applyBorder="1" applyAlignment="1">
      <alignment horizontal="center" vertical="center" wrapText="1"/>
    </xf>
    <xf numFmtId="49" fontId="9" fillId="0" borderId="36" xfId="2" applyNumberFormat="1" applyFont="1" applyBorder="1" applyAlignment="1">
      <alignment horizontal="center" vertical="center" wrapText="1"/>
    </xf>
    <xf numFmtId="49" fontId="9" fillId="0" borderId="39" xfId="2" applyNumberFormat="1" applyFont="1" applyBorder="1" applyAlignment="1">
      <alignment horizontal="center" vertical="center" wrapText="1"/>
    </xf>
    <xf numFmtId="49" fontId="9" fillId="0" borderId="42" xfId="2" applyNumberFormat="1" applyFont="1" applyBorder="1" applyAlignment="1">
      <alignment horizontal="center" vertical="center" wrapText="1"/>
    </xf>
    <xf numFmtId="0" fontId="20" fillId="0" borderId="0" xfId="2" applyFont="1" applyAlignment="1">
      <alignment vertical="center" wrapText="1"/>
    </xf>
    <xf numFmtId="0" fontId="20" fillId="0" borderId="0" xfId="2" applyFont="1" applyAlignment="1">
      <alignment vertical="center"/>
    </xf>
    <xf numFmtId="0" fontId="20" fillId="0" borderId="0" xfId="2" applyFont="1" applyAlignment="1">
      <alignment horizontal="center"/>
    </xf>
    <xf numFmtId="0" fontId="20" fillId="0" borderId="0" xfId="2" applyFont="1" applyAlignment="1">
      <alignment wrapText="1"/>
    </xf>
    <xf numFmtId="0" fontId="7" fillId="0" borderId="27" xfId="0" applyFont="1" applyBorder="1" applyAlignment="1">
      <alignment horizontal="center" vertical="center" wrapText="1"/>
    </xf>
    <xf numFmtId="164" fontId="7" fillId="0" borderId="24" xfId="0" applyNumberFormat="1" applyFont="1" applyBorder="1" applyAlignment="1">
      <alignment horizontal="center" vertical="center" wrapText="1"/>
    </xf>
    <xf numFmtId="49" fontId="11" fillId="0" borderId="48" xfId="0" applyNumberFormat="1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1" fontId="9" fillId="0" borderId="33" xfId="0" applyNumberFormat="1" applyFont="1" applyBorder="1" applyAlignment="1">
      <alignment horizontal="center" vertical="center" wrapText="1"/>
    </xf>
    <xf numFmtId="0" fontId="9" fillId="0" borderId="39" xfId="3" applyFont="1" applyBorder="1" applyAlignment="1">
      <alignment horizontal="center" vertical="center" wrapText="1"/>
    </xf>
    <xf numFmtId="0" fontId="9" fillId="0" borderId="36" xfId="3" applyFont="1" applyBorder="1" applyAlignment="1">
      <alignment horizontal="center" vertical="center" wrapText="1"/>
    </xf>
    <xf numFmtId="0" fontId="9" fillId="0" borderId="42" xfId="3" applyFont="1" applyBorder="1" applyAlignment="1">
      <alignment horizontal="center" vertical="center" wrapText="1"/>
    </xf>
    <xf numFmtId="164" fontId="20" fillId="0" borderId="0" xfId="0" applyNumberFormat="1" applyFont="1"/>
    <xf numFmtId="0" fontId="20" fillId="0" borderId="0" xfId="0" applyFont="1" applyAlignment="1">
      <alignment wrapText="1"/>
    </xf>
    <xf numFmtId="164" fontId="0" fillId="0" borderId="0" xfId="0" applyNumberFormat="1"/>
    <xf numFmtId="0" fontId="5" fillId="0" borderId="0" xfId="2" applyFont="1"/>
    <xf numFmtId="49" fontId="11" fillId="0" borderId="29" xfId="2" applyNumberFormat="1" applyFont="1" applyBorder="1" applyAlignment="1">
      <alignment horizontal="center" vertical="center" wrapText="1"/>
    </xf>
    <xf numFmtId="49" fontId="11" fillId="0" borderId="30" xfId="2" applyNumberFormat="1" applyFont="1" applyBorder="1" applyAlignment="1">
      <alignment horizontal="center" vertical="center" wrapText="1"/>
    </xf>
    <xf numFmtId="1" fontId="9" fillId="0" borderId="30" xfId="2" applyNumberFormat="1" applyFont="1" applyBorder="1" applyAlignment="1">
      <alignment horizontal="center" vertical="center" wrapText="1"/>
    </xf>
    <xf numFmtId="49" fontId="9" fillId="0" borderId="30" xfId="2" applyNumberFormat="1" applyFont="1" applyBorder="1" applyAlignment="1">
      <alignment horizontal="center" vertical="center" wrapText="1"/>
    </xf>
    <xf numFmtId="49" fontId="9" fillId="0" borderId="31" xfId="2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3" fillId="0" borderId="43" xfId="2" applyFont="1" applyBorder="1" applyAlignment="1">
      <alignment vertical="center" wrapText="1"/>
    </xf>
    <xf numFmtId="0" fontId="13" fillId="0" borderId="37" xfId="2" applyFont="1" applyBorder="1" applyAlignment="1">
      <alignment vertical="center" wrapText="1"/>
    </xf>
    <xf numFmtId="1" fontId="9" fillId="0" borderId="45" xfId="2" applyNumberFormat="1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3" fillId="0" borderId="40" xfId="2" applyFont="1" applyBorder="1" applyAlignment="1">
      <alignment vertical="center" wrapText="1"/>
    </xf>
    <xf numFmtId="49" fontId="11" fillId="0" borderId="48" xfId="2" applyNumberFormat="1" applyFont="1" applyBorder="1" applyAlignment="1">
      <alignment horizontal="center" vertical="center" wrapText="1"/>
    </xf>
    <xf numFmtId="49" fontId="11" fillId="0" borderId="45" xfId="2" applyNumberFormat="1" applyFont="1" applyBorder="1" applyAlignment="1">
      <alignment horizontal="center" vertical="center" wrapText="1"/>
    </xf>
    <xf numFmtId="2" fontId="9" fillId="0" borderId="45" xfId="2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38" fillId="0" borderId="0" xfId="2" applyFont="1" applyAlignment="1">
      <alignment horizontal="center" vertical="center" wrapText="1"/>
    </xf>
    <xf numFmtId="164" fontId="9" fillId="0" borderId="0" xfId="2" applyNumberFormat="1" applyFont="1" applyAlignment="1">
      <alignment horizontal="center" vertical="center" wrapText="1"/>
    </xf>
    <xf numFmtId="0" fontId="14" fillId="0" borderId="0" xfId="2" applyFont="1" applyAlignment="1">
      <alignment wrapText="1"/>
    </xf>
    <xf numFmtId="0" fontId="14" fillId="0" borderId="0" xfId="2" applyFont="1"/>
    <xf numFmtId="164" fontId="9" fillId="0" borderId="33" xfId="0" applyNumberFormat="1" applyFont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9" fillId="0" borderId="42" xfId="0" applyNumberFormat="1" applyFont="1" applyBorder="1" applyAlignment="1">
      <alignment horizontal="center" vertical="center" wrapText="1"/>
    </xf>
    <xf numFmtId="49" fontId="9" fillId="0" borderId="30" xfId="0" applyNumberFormat="1" applyFont="1" applyBorder="1" applyAlignment="1">
      <alignment horizontal="center" vertical="center"/>
    </xf>
    <xf numFmtId="49" fontId="9" fillId="0" borderId="42" xfId="0" applyNumberFormat="1" applyFont="1" applyBorder="1" applyAlignment="1">
      <alignment horizontal="center" vertical="center"/>
    </xf>
    <xf numFmtId="49" fontId="9" fillId="0" borderId="39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49" fontId="9" fillId="0" borderId="30" xfId="0" applyNumberFormat="1" applyFont="1" applyBorder="1" applyAlignment="1">
      <alignment horizontal="center" vertical="center" wrapText="1"/>
    </xf>
    <xf numFmtId="2" fontId="9" fillId="0" borderId="42" xfId="1" applyNumberFormat="1" applyFont="1" applyFill="1" applyBorder="1" applyAlignment="1">
      <alignment horizontal="center" vertical="center"/>
    </xf>
    <xf numFmtId="2" fontId="9" fillId="0" borderId="30" xfId="1" applyNumberFormat="1" applyFont="1" applyFill="1" applyBorder="1" applyAlignment="1">
      <alignment horizontal="center" vertical="center" wrapText="1"/>
    </xf>
    <xf numFmtId="2" fontId="9" fillId="0" borderId="30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0" fontId="11" fillId="0" borderId="0" xfId="0" applyFont="1"/>
    <xf numFmtId="166" fontId="9" fillId="0" borderId="30" xfId="0" applyNumberFormat="1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7" fillId="0" borderId="0" xfId="0" applyFont="1" applyAlignment="1">
      <alignment vertical="center"/>
    </xf>
    <xf numFmtId="2" fontId="20" fillId="0" borderId="0" xfId="0" applyNumberFormat="1" applyFont="1"/>
    <xf numFmtId="0" fontId="24" fillId="0" borderId="0" xfId="0" applyFont="1" applyAlignment="1">
      <alignment vertical="center" wrapText="1"/>
    </xf>
    <xf numFmtId="0" fontId="11" fillId="0" borderId="45" xfId="3" applyFont="1" applyBorder="1" applyAlignment="1">
      <alignment horizontal="center" vertical="center" wrapText="1"/>
    </xf>
    <xf numFmtId="164" fontId="9" fillId="0" borderId="45" xfId="3" applyNumberFormat="1" applyFont="1" applyBorder="1" applyAlignment="1">
      <alignment horizontal="center" vertical="center" wrapText="1"/>
    </xf>
    <xf numFmtId="164" fontId="9" fillId="0" borderId="45" xfId="0" applyNumberFormat="1" applyFont="1" applyBorder="1" applyAlignment="1">
      <alignment horizontal="center" vertical="center"/>
    </xf>
    <xf numFmtId="164" fontId="9" fillId="0" borderId="42" xfId="3" applyNumberFormat="1" applyFont="1" applyBorder="1" applyAlignment="1">
      <alignment horizontal="center" vertical="center" wrapText="1"/>
    </xf>
    <xf numFmtId="164" fontId="9" fillId="0" borderId="30" xfId="3" applyNumberFormat="1" applyFont="1" applyBorder="1" applyAlignment="1">
      <alignment horizontal="center" vertical="center" wrapText="1"/>
    </xf>
    <xf numFmtId="164" fontId="9" fillId="0" borderId="36" xfId="3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164" fontId="9" fillId="0" borderId="39" xfId="3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9" fillId="0" borderId="39" xfId="0" applyNumberFormat="1" applyFont="1" applyBorder="1" applyAlignment="1">
      <alignment horizontal="center" vertical="center" wrapText="1"/>
    </xf>
    <xf numFmtId="164" fontId="9" fillId="0" borderId="44" xfId="0" applyNumberFormat="1" applyFont="1" applyBorder="1" applyAlignment="1">
      <alignment horizontal="center" vertical="center" wrapText="1"/>
    </xf>
    <xf numFmtId="164" fontId="9" fillId="0" borderId="45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0" fillId="0" borderId="20" xfId="0" applyBorder="1" applyAlignment="1">
      <alignment wrapText="1"/>
    </xf>
    <xf numFmtId="0" fontId="0" fillId="0" borderId="20" xfId="0" applyBorder="1" applyAlignment="1">
      <alignment horizontal="center" vertical="center" wrapText="1"/>
    </xf>
    <xf numFmtId="0" fontId="40" fillId="0" borderId="0" xfId="0" applyFont="1"/>
    <xf numFmtId="2" fontId="7" fillId="0" borderId="0" xfId="0" applyNumberFormat="1" applyFont="1" applyAlignment="1">
      <alignment vertical="center"/>
    </xf>
    <xf numFmtId="2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3" fontId="9" fillId="0" borderId="36" xfId="0" applyNumberFormat="1" applyFont="1" applyBorder="1" applyAlignment="1">
      <alignment horizontal="center" vertical="center" wrapText="1"/>
    </xf>
    <xf numFmtId="3" fontId="9" fillId="0" borderId="30" xfId="0" applyNumberFormat="1" applyFont="1" applyBorder="1" applyAlignment="1">
      <alignment horizontal="center" vertical="center" wrapText="1"/>
    </xf>
    <xf numFmtId="3" fontId="9" fillId="0" borderId="42" xfId="0" applyNumberFormat="1" applyFont="1" applyBorder="1" applyAlignment="1">
      <alignment horizontal="center" vertical="center" wrapText="1"/>
    </xf>
    <xf numFmtId="3" fontId="9" fillId="0" borderId="39" xfId="0" applyNumberFormat="1" applyFont="1" applyBorder="1" applyAlignment="1">
      <alignment horizontal="center" vertical="center" wrapText="1"/>
    </xf>
    <xf numFmtId="3" fontId="9" fillId="0" borderId="44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24" fillId="0" borderId="0" xfId="0" applyFont="1" applyAlignment="1">
      <alignment horizontal="center"/>
    </xf>
    <xf numFmtId="0" fontId="21" fillId="0" borderId="0" xfId="0" applyFont="1"/>
    <xf numFmtId="164" fontId="13" fillId="0" borderId="30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top" wrapText="1"/>
    </xf>
    <xf numFmtId="0" fontId="41" fillId="0" borderId="0" xfId="0" applyFont="1"/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2" fontId="9" fillId="0" borderId="58" xfId="0" applyNumberFormat="1" applyFont="1" applyBorder="1" applyAlignment="1">
      <alignment horizontal="center" vertical="center" wrapText="1"/>
    </xf>
    <xf numFmtId="49" fontId="9" fillId="0" borderId="44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4" fontId="9" fillId="0" borderId="33" xfId="0" applyNumberFormat="1" applyFont="1" applyBorder="1" applyAlignment="1">
      <alignment vertical="center" wrapText="1"/>
    </xf>
    <xf numFmtId="2" fontId="9" fillId="0" borderId="33" xfId="0" applyNumberFormat="1" applyFont="1" applyBorder="1" applyAlignment="1">
      <alignment vertical="center" wrapText="1"/>
    </xf>
    <xf numFmtId="164" fontId="9" fillId="0" borderId="36" xfId="0" applyNumberFormat="1" applyFont="1" applyBorder="1" applyAlignment="1">
      <alignment vertical="center" wrapText="1"/>
    </xf>
    <xf numFmtId="2" fontId="9" fillId="0" borderId="36" xfId="0" applyNumberFormat="1" applyFont="1" applyBorder="1" applyAlignment="1">
      <alignment vertical="center" wrapText="1"/>
    </xf>
    <xf numFmtId="164" fontId="9" fillId="0" borderId="39" xfId="0" applyNumberFormat="1" applyFont="1" applyBorder="1" applyAlignment="1">
      <alignment vertical="center" wrapText="1"/>
    </xf>
    <xf numFmtId="2" fontId="9" fillId="0" borderId="39" xfId="0" applyNumberFormat="1" applyFont="1" applyBorder="1" applyAlignment="1">
      <alignment vertical="center" wrapText="1"/>
    </xf>
    <xf numFmtId="0" fontId="7" fillId="0" borderId="42" xfId="0" applyFont="1" applyBorder="1"/>
    <xf numFmtId="2" fontId="9" fillId="0" borderId="42" xfId="0" applyNumberFormat="1" applyFont="1" applyBorder="1" applyAlignment="1">
      <alignment vertical="center" wrapText="1"/>
    </xf>
    <xf numFmtId="0" fontId="7" fillId="0" borderId="36" xfId="0" applyFont="1" applyBorder="1"/>
    <xf numFmtId="2" fontId="11" fillId="0" borderId="30" xfId="0" applyNumberFormat="1" applyFont="1" applyBorder="1" applyAlignment="1">
      <alignment horizontal="center" vertical="center" wrapText="1"/>
    </xf>
    <xf numFmtId="164" fontId="9" fillId="0" borderId="30" xfId="0" applyNumberFormat="1" applyFont="1" applyBorder="1" applyAlignment="1">
      <alignment vertical="center" wrapText="1"/>
    </xf>
    <xf numFmtId="2" fontId="9" fillId="0" borderId="30" xfId="0" applyNumberFormat="1" applyFont="1" applyBorder="1" applyAlignment="1">
      <alignment vertical="center" wrapText="1"/>
    </xf>
    <xf numFmtId="164" fontId="9" fillId="0" borderId="42" xfId="0" applyNumberFormat="1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0" fontId="9" fillId="0" borderId="42" xfId="0" applyFont="1" applyBorder="1" applyAlignment="1">
      <alignment vertical="center" wrapText="1"/>
    </xf>
    <xf numFmtId="0" fontId="9" fillId="0" borderId="39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42" fillId="0" borderId="43" xfId="0" applyFont="1" applyBorder="1" applyAlignment="1">
      <alignment horizontal="center" vertical="center" wrapText="1"/>
    </xf>
    <xf numFmtId="0" fontId="42" fillId="0" borderId="40" xfId="0" applyFont="1" applyBorder="1" applyAlignment="1">
      <alignment horizontal="center" vertical="center" wrapText="1"/>
    </xf>
    <xf numFmtId="164" fontId="7" fillId="0" borderId="42" xfId="0" applyNumberFormat="1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164" fontId="7" fillId="0" borderId="36" xfId="0" applyNumberFormat="1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164" fontId="7" fillId="0" borderId="39" xfId="0" applyNumberFormat="1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9" fillId="0" borderId="72" xfId="0" applyFont="1" applyBorder="1" applyAlignment="1">
      <alignment horizontal="center"/>
    </xf>
    <xf numFmtId="0" fontId="9" fillId="0" borderId="61" xfId="0" applyFont="1" applyBorder="1" applyAlignment="1">
      <alignment horizontal="center"/>
    </xf>
    <xf numFmtId="0" fontId="9" fillId="0" borderId="63" xfId="0" applyFont="1" applyBorder="1" applyAlignment="1">
      <alignment horizontal="center"/>
    </xf>
    <xf numFmtId="0" fontId="9" fillId="0" borderId="62" xfId="0" applyFont="1" applyBorder="1" applyAlignment="1">
      <alignment horizontal="center"/>
    </xf>
    <xf numFmtId="0" fontId="9" fillId="0" borderId="71" xfId="0" applyFont="1" applyBorder="1" applyAlignment="1">
      <alignment horizontal="center"/>
    </xf>
    <xf numFmtId="49" fontId="9" fillId="0" borderId="33" xfId="0" applyNumberFormat="1" applyFont="1" applyBorder="1" applyAlignment="1">
      <alignment horizontal="center" vertical="center"/>
    </xf>
    <xf numFmtId="49" fontId="9" fillId="0" borderId="36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9" fillId="0" borderId="30" xfId="6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9" fillId="0" borderId="31" xfId="0" applyNumberFormat="1" applyFont="1" applyBorder="1" applyAlignment="1">
      <alignment horizontal="center" vertical="center" wrapText="1"/>
    </xf>
    <xf numFmtId="3" fontId="11" fillId="0" borderId="0" xfId="0" applyNumberFormat="1" applyFont="1" applyAlignment="1">
      <alignment horizontal="right" vertical="center" wrapText="1"/>
    </xf>
    <xf numFmtId="0" fontId="44" fillId="0" borderId="0" xfId="0" applyFont="1" applyAlignment="1">
      <alignment horizontal="center" vertical="center"/>
    </xf>
    <xf numFmtId="3" fontId="9" fillId="0" borderId="33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36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0" fontId="47" fillId="0" borderId="58" xfId="0" applyFont="1" applyBorder="1" applyAlignment="1">
      <alignment horizontal="center" vertical="center"/>
    </xf>
    <xf numFmtId="164" fontId="9" fillId="0" borderId="44" xfId="0" applyNumberFormat="1" applyFont="1" applyBorder="1" applyAlignment="1">
      <alignment horizontal="center" vertical="center"/>
    </xf>
    <xf numFmtId="164" fontId="9" fillId="0" borderId="58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164" fontId="9" fillId="0" borderId="51" xfId="0" applyNumberFormat="1" applyFont="1" applyBorder="1" applyAlignment="1">
      <alignment horizontal="center" vertical="center"/>
    </xf>
    <xf numFmtId="164" fontId="11" fillId="0" borderId="29" xfId="0" applyNumberFormat="1" applyFont="1" applyBorder="1" applyAlignment="1">
      <alignment horizontal="center" vertical="center" wrapText="1"/>
    </xf>
    <xf numFmtId="164" fontId="11" fillId="0" borderId="3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64" fontId="9" fillId="0" borderId="58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48" fillId="0" borderId="0" xfId="0" applyFont="1" applyAlignment="1">
      <alignment horizontal="justify" vertical="center"/>
    </xf>
    <xf numFmtId="0" fontId="49" fillId="0" borderId="0" xfId="0" applyFont="1" applyAlignment="1">
      <alignment vertical="center" wrapText="1"/>
    </xf>
    <xf numFmtId="0" fontId="25" fillId="0" borderId="0" xfId="0" applyFont="1" applyAlignment="1">
      <alignment horizontal="justify" vertical="center"/>
    </xf>
    <xf numFmtId="0" fontId="6" fillId="0" borderId="0" xfId="0" applyFont="1" applyAlignment="1">
      <alignment horizontal="center" vertical="center" wrapText="1"/>
    </xf>
    <xf numFmtId="49" fontId="9" fillId="0" borderId="29" xfId="0" applyNumberFormat="1" applyFont="1" applyBorder="1" applyAlignment="1">
      <alignment horizontal="center" vertical="center"/>
    </xf>
    <xf numFmtId="1" fontId="9" fillId="0" borderId="33" xfId="0" applyNumberFormat="1" applyFont="1" applyBorder="1" applyAlignment="1">
      <alignment horizontal="center" vertical="center"/>
    </xf>
    <xf numFmtId="164" fontId="9" fillId="0" borderId="33" xfId="0" applyNumberFormat="1" applyFont="1" applyBorder="1" applyAlignment="1">
      <alignment horizontal="center" vertical="center"/>
    </xf>
    <xf numFmtId="165" fontId="9" fillId="0" borderId="36" xfId="0" applyNumberFormat="1" applyFont="1" applyBorder="1" applyAlignment="1">
      <alignment horizontal="center" vertical="center"/>
    </xf>
    <xf numFmtId="165" fontId="9" fillId="0" borderId="39" xfId="0" applyNumberFormat="1" applyFont="1" applyBorder="1" applyAlignment="1">
      <alignment horizontal="center" vertical="center"/>
    </xf>
    <xf numFmtId="2" fontId="7" fillId="0" borderId="0" xfId="0" applyNumberFormat="1" applyFont="1"/>
    <xf numFmtId="1" fontId="7" fillId="0" borderId="0" xfId="0" applyNumberFormat="1" applyFont="1"/>
    <xf numFmtId="0" fontId="52" fillId="0" borderId="83" xfId="0" applyFont="1" applyBorder="1" applyAlignment="1">
      <alignment horizontal="center" vertical="center" wrapText="1"/>
    </xf>
    <xf numFmtId="0" fontId="48" fillId="0" borderId="83" xfId="0" applyFont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51" fillId="0" borderId="36" xfId="0" applyFont="1" applyBorder="1" applyAlignment="1">
      <alignment vertical="center" wrapText="1"/>
    </xf>
    <xf numFmtId="0" fontId="7" fillId="0" borderId="34" xfId="0" applyFont="1" applyBorder="1"/>
    <xf numFmtId="0" fontId="7" fillId="0" borderId="40" xfId="0" applyFont="1" applyBorder="1"/>
    <xf numFmtId="0" fontId="7" fillId="0" borderId="43" xfId="0" applyFont="1" applyBorder="1"/>
    <xf numFmtId="0" fontId="7" fillId="0" borderId="37" xfId="0" applyFont="1" applyBorder="1"/>
    <xf numFmtId="0" fontId="7" fillId="0" borderId="31" xfId="0" applyFont="1" applyBorder="1"/>
    <xf numFmtId="0" fontId="7" fillId="0" borderId="59" xfId="0" applyFont="1" applyBorder="1"/>
    <xf numFmtId="0" fontId="7" fillId="0" borderId="57" xfId="0" applyFont="1" applyBorder="1"/>
    <xf numFmtId="0" fontId="4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1" fontId="9" fillId="0" borderId="60" xfId="0" applyNumberFormat="1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0" xfId="0" applyFont="1" applyAlignment="1">
      <alignment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2" fontId="52" fillId="0" borderId="83" xfId="0" applyNumberFormat="1" applyFont="1" applyBorder="1" applyAlignment="1">
      <alignment horizontal="center" vertical="center" wrapText="1"/>
    </xf>
    <xf numFmtId="2" fontId="48" fillId="0" borderId="83" xfId="0" applyNumberFormat="1" applyFont="1" applyBorder="1" applyAlignment="1">
      <alignment horizontal="center" vertical="center" wrapText="1"/>
    </xf>
    <xf numFmtId="1" fontId="51" fillId="0" borderId="84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1" fontId="55" fillId="0" borderId="84" xfId="0" applyNumberFormat="1" applyFont="1" applyBorder="1" applyAlignment="1">
      <alignment horizontal="center" vertical="center"/>
    </xf>
    <xf numFmtId="2" fontId="56" fillId="0" borderId="83" xfId="0" applyNumberFormat="1" applyFont="1" applyBorder="1" applyAlignment="1">
      <alignment horizontal="center" vertical="center" wrapText="1"/>
    </xf>
    <xf numFmtId="2" fontId="55" fillId="0" borderId="83" xfId="0" applyNumberFormat="1" applyFont="1" applyBorder="1" applyAlignment="1">
      <alignment horizontal="center" vertical="center" wrapText="1"/>
    </xf>
    <xf numFmtId="164" fontId="52" fillId="0" borderId="83" xfId="0" applyNumberFormat="1" applyFont="1" applyBorder="1" applyAlignment="1">
      <alignment horizontal="center" vertical="center" wrapText="1"/>
    </xf>
    <xf numFmtId="164" fontId="48" fillId="0" borderId="83" xfId="0" applyNumberFormat="1" applyFont="1" applyBorder="1" applyAlignment="1">
      <alignment horizontal="center" vertical="center" wrapText="1"/>
    </xf>
    <xf numFmtId="2" fontId="9" fillId="0" borderId="39" xfId="3" applyNumberFormat="1" applyFont="1" applyBorder="1" applyAlignment="1">
      <alignment horizontal="center" vertical="center" wrapText="1"/>
    </xf>
    <xf numFmtId="2" fontId="26" fillId="0" borderId="73" xfId="0" applyNumberFormat="1" applyFont="1" applyBorder="1" applyAlignment="1">
      <alignment horizontal="center" vertical="center" wrapText="1"/>
    </xf>
    <xf numFmtId="2" fontId="26" fillId="0" borderId="82" xfId="0" applyNumberFormat="1" applyFont="1" applyBorder="1" applyAlignment="1">
      <alignment horizontal="center" vertical="center" wrapText="1"/>
    </xf>
    <xf numFmtId="0" fontId="51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/>
    </xf>
    <xf numFmtId="2" fontId="51" fillId="0" borderId="68" xfId="0" applyNumberFormat="1" applyFont="1" applyBorder="1" applyAlignment="1">
      <alignment horizontal="center" vertical="center"/>
    </xf>
    <xf numFmtId="2" fontId="51" fillId="0" borderId="82" xfId="0" applyNumberFormat="1" applyFont="1" applyBorder="1" applyAlignment="1">
      <alignment horizontal="center" vertical="center"/>
    </xf>
    <xf numFmtId="2" fontId="56" fillId="0" borderId="73" xfId="0" applyNumberFormat="1" applyFont="1" applyBorder="1" applyAlignment="1">
      <alignment horizontal="center" vertical="center" wrapText="1"/>
    </xf>
    <xf numFmtId="2" fontId="56" fillId="0" borderId="82" xfId="0" applyNumberFormat="1" applyFont="1" applyBorder="1" applyAlignment="1">
      <alignment horizontal="center" vertical="center" wrapText="1"/>
    </xf>
    <xf numFmtId="2" fontId="55" fillId="0" borderId="73" xfId="0" applyNumberFormat="1" applyFont="1" applyBorder="1" applyAlignment="1">
      <alignment horizontal="center" vertical="center" wrapText="1"/>
    </xf>
    <xf numFmtId="2" fontId="55" fillId="0" borderId="82" xfId="0" applyNumberFormat="1" applyFont="1" applyBorder="1" applyAlignment="1">
      <alignment horizontal="center" vertical="center" wrapText="1"/>
    </xf>
    <xf numFmtId="2" fontId="48" fillId="0" borderId="73" xfId="0" applyNumberFormat="1" applyFont="1" applyBorder="1" applyAlignment="1">
      <alignment horizontal="center" vertical="center" wrapText="1"/>
    </xf>
    <xf numFmtId="2" fontId="48" fillId="0" borderId="82" xfId="0" applyNumberFormat="1" applyFont="1" applyBorder="1" applyAlignment="1">
      <alignment horizontal="center" vertical="center" wrapText="1"/>
    </xf>
    <xf numFmtId="0" fontId="51" fillId="0" borderId="36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50" fillId="0" borderId="84" xfId="0" applyFont="1" applyBorder="1" applyAlignment="1">
      <alignment horizontal="center" vertical="center"/>
    </xf>
    <xf numFmtId="0" fontId="51" fillId="0" borderId="60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84" xfId="0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 wrapText="1"/>
    </xf>
    <xf numFmtId="0" fontId="51" fillId="0" borderId="81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75" xfId="0" applyFont="1" applyBorder="1" applyAlignment="1">
      <alignment horizontal="center" vertical="center" wrapText="1"/>
    </xf>
    <xf numFmtId="0" fontId="51" fillId="0" borderId="83" xfId="0" applyFont="1" applyBorder="1" applyAlignment="1">
      <alignment horizontal="center" vertical="center" wrapText="1"/>
    </xf>
    <xf numFmtId="0" fontId="48" fillId="0" borderId="73" xfId="0" applyFont="1" applyBorder="1" applyAlignment="1">
      <alignment horizontal="center" vertical="center"/>
    </xf>
    <xf numFmtId="0" fontId="48" fillId="0" borderId="68" xfId="0" applyFont="1" applyBorder="1" applyAlignment="1">
      <alignment horizontal="center" vertical="center"/>
    </xf>
    <xf numFmtId="0" fontId="48" fillId="0" borderId="82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52" fillId="0" borderId="60" xfId="0" applyFont="1" applyBorder="1" applyAlignment="1">
      <alignment horizontal="center" vertical="center"/>
    </xf>
    <xf numFmtId="0" fontId="52" fillId="0" borderId="81" xfId="0" applyFont="1" applyBorder="1" applyAlignment="1">
      <alignment horizontal="center" vertical="center"/>
    </xf>
    <xf numFmtId="0" fontId="52" fillId="0" borderId="75" xfId="0" applyFont="1" applyBorder="1" applyAlignment="1">
      <alignment horizontal="center" vertical="center"/>
    </xf>
    <xf numFmtId="0" fontId="52" fillId="0" borderId="84" xfId="0" applyFont="1" applyBorder="1" applyAlignment="1">
      <alignment horizontal="center" vertical="center"/>
    </xf>
    <xf numFmtId="0" fontId="52" fillId="0" borderId="83" xfId="0" applyFont="1" applyBorder="1" applyAlignment="1">
      <alignment horizontal="center" vertical="center"/>
    </xf>
    <xf numFmtId="0" fontId="52" fillId="0" borderId="73" xfId="0" applyFont="1" applyBorder="1" applyAlignment="1">
      <alignment horizontal="center" vertical="center"/>
    </xf>
    <xf numFmtId="0" fontId="52" fillId="0" borderId="68" xfId="0" applyFont="1" applyBorder="1" applyAlignment="1">
      <alignment horizontal="center" vertical="center"/>
    </xf>
    <xf numFmtId="0" fontId="52" fillId="0" borderId="82" xfId="0" applyFont="1" applyBorder="1" applyAlignment="1">
      <alignment horizontal="center" vertical="center"/>
    </xf>
    <xf numFmtId="0" fontId="52" fillId="0" borderId="85" xfId="0" applyFont="1" applyBorder="1" applyAlignment="1">
      <alignment horizontal="center" vertical="center"/>
    </xf>
    <xf numFmtId="0" fontId="52" fillId="0" borderId="86" xfId="0" applyFont="1" applyBorder="1" applyAlignment="1">
      <alignment horizontal="center" vertical="center"/>
    </xf>
    <xf numFmtId="0" fontId="48" fillId="0" borderId="73" xfId="0" applyFont="1" applyBorder="1" applyAlignment="1">
      <alignment horizontal="center" vertical="center" wrapText="1"/>
    </xf>
    <xf numFmtId="0" fontId="48" fillId="0" borderId="82" xfId="0" applyFont="1" applyBorder="1" applyAlignment="1">
      <alignment horizontal="center" vertical="center" wrapText="1"/>
    </xf>
    <xf numFmtId="164" fontId="48" fillId="0" borderId="73" xfId="0" applyNumberFormat="1" applyFont="1" applyBorder="1" applyAlignment="1">
      <alignment horizontal="center" vertical="center" wrapText="1"/>
    </xf>
    <xf numFmtId="164" fontId="48" fillId="0" borderId="82" xfId="0" applyNumberFormat="1" applyFont="1" applyBorder="1" applyAlignment="1">
      <alignment horizontal="center" vertical="center" wrapText="1"/>
    </xf>
    <xf numFmtId="1" fontId="7" fillId="0" borderId="21" xfId="0" applyNumberFormat="1" applyFont="1" applyBorder="1" applyAlignment="1">
      <alignment horizontal="center" vertical="center" wrapText="1"/>
    </xf>
    <xf numFmtId="1" fontId="7" fillId="0" borderId="26" xfId="0" applyNumberFormat="1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2" fontId="9" fillId="0" borderId="42" xfId="0" applyNumberFormat="1" applyFont="1" applyBorder="1" applyAlignment="1">
      <alignment horizontal="center" vertical="center"/>
    </xf>
    <xf numFmtId="2" fontId="9" fillId="0" borderId="36" xfId="0" applyNumberFormat="1" applyFont="1" applyBorder="1" applyAlignment="1">
      <alignment horizontal="center" vertical="center"/>
    </xf>
    <xf numFmtId="2" fontId="9" fillId="0" borderId="39" xfId="0" applyNumberFormat="1" applyFont="1" applyBorder="1" applyAlignment="1">
      <alignment horizontal="center" vertical="center"/>
    </xf>
    <xf numFmtId="1" fontId="9" fillId="0" borderId="42" xfId="0" applyNumberFormat="1" applyFont="1" applyBorder="1" applyAlignment="1">
      <alignment horizontal="center" vertical="center"/>
    </xf>
    <xf numFmtId="1" fontId="9" fillId="0" borderId="36" xfId="0" applyNumberFormat="1" applyFont="1" applyBorder="1" applyAlignment="1">
      <alignment horizontal="center" vertical="center"/>
    </xf>
    <xf numFmtId="164" fontId="9" fillId="0" borderId="42" xfId="0" applyNumberFormat="1" applyFont="1" applyBorder="1" applyAlignment="1">
      <alignment horizontal="center" vertical="center"/>
    </xf>
    <xf numFmtId="164" fontId="9" fillId="0" borderId="36" xfId="0" applyNumberFormat="1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wrapText="1"/>
    </xf>
    <xf numFmtId="2" fontId="9" fillId="0" borderId="33" xfId="0" applyNumberFormat="1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1" fontId="9" fillId="0" borderId="39" xfId="0" applyNumberFormat="1" applyFont="1" applyBorder="1" applyAlignment="1">
      <alignment horizontal="center" vertical="center"/>
    </xf>
    <xf numFmtId="164" fontId="9" fillId="0" borderId="39" xfId="0" applyNumberFormat="1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2" fontId="11" fillId="0" borderId="41" xfId="0" applyNumberFormat="1" applyFont="1" applyBorder="1" applyAlignment="1">
      <alignment horizontal="center" vertical="center" wrapText="1"/>
    </xf>
    <xf numFmtId="2" fontId="11" fillId="0" borderId="38" xfId="0" applyNumberFormat="1" applyFont="1" applyBorder="1" applyAlignment="1">
      <alignment horizontal="center" vertical="center" wrapText="1"/>
    </xf>
    <xf numFmtId="2" fontId="9" fillId="0" borderId="42" xfId="0" applyNumberFormat="1" applyFont="1" applyBorder="1" applyAlignment="1">
      <alignment horizontal="center" vertical="center" wrapText="1"/>
    </xf>
    <xf numFmtId="2" fontId="9" fillId="0" borderId="39" xfId="0" applyNumberFormat="1" applyFont="1" applyBorder="1" applyAlignment="1">
      <alignment horizontal="center" vertical="center" wrapText="1"/>
    </xf>
    <xf numFmtId="1" fontId="9" fillId="0" borderId="42" xfId="0" applyNumberFormat="1" applyFont="1" applyBorder="1" applyAlignment="1">
      <alignment horizontal="center" vertical="center" wrapText="1"/>
    </xf>
    <xf numFmtId="1" fontId="9" fillId="0" borderId="39" xfId="0" applyNumberFormat="1" applyFont="1" applyBorder="1" applyAlignment="1">
      <alignment horizontal="center" vertical="center" wrapText="1"/>
    </xf>
    <xf numFmtId="164" fontId="9" fillId="0" borderId="42" xfId="0" applyNumberFormat="1" applyFont="1" applyBorder="1" applyAlignment="1">
      <alignment horizontal="center" vertical="center" wrapText="1"/>
    </xf>
    <xf numFmtId="164" fontId="9" fillId="0" borderId="39" xfId="0" applyNumberFormat="1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164" fontId="9" fillId="0" borderId="36" xfId="0" applyNumberFormat="1" applyFont="1" applyBorder="1" applyAlignment="1">
      <alignment horizontal="center" vertical="center" wrapText="1"/>
    </xf>
    <xf numFmtId="2" fontId="9" fillId="0" borderId="36" xfId="0" applyNumberFormat="1" applyFont="1" applyBorder="1" applyAlignment="1">
      <alignment horizontal="center" vertical="center" wrapText="1"/>
    </xf>
    <xf numFmtId="1" fontId="9" fillId="0" borderId="36" xfId="0" applyNumberFormat="1" applyFont="1" applyBorder="1" applyAlignment="1">
      <alignment horizontal="center" vertical="center" wrapText="1"/>
    </xf>
    <xf numFmtId="165" fontId="9" fillId="0" borderId="42" xfId="0" applyNumberFormat="1" applyFont="1" applyBorder="1" applyAlignment="1">
      <alignment horizontal="center" vertical="center"/>
    </xf>
    <xf numFmtId="165" fontId="9" fillId="0" borderId="36" xfId="0" applyNumberFormat="1" applyFont="1" applyBorder="1" applyAlignment="1">
      <alignment horizontal="center" vertical="center"/>
    </xf>
    <xf numFmtId="1" fontId="9" fillId="0" borderId="44" xfId="0" applyNumberFormat="1" applyFont="1" applyBorder="1" applyAlignment="1">
      <alignment horizontal="center" vertical="center"/>
    </xf>
    <xf numFmtId="1" fontId="9" fillId="0" borderId="45" xfId="0" applyNumberFormat="1" applyFont="1" applyBorder="1" applyAlignment="1">
      <alignment horizontal="center" vertical="center"/>
    </xf>
    <xf numFmtId="164" fontId="9" fillId="0" borderId="44" xfId="0" applyNumberFormat="1" applyFont="1" applyBorder="1" applyAlignment="1">
      <alignment horizontal="center" vertical="center"/>
    </xf>
    <xf numFmtId="164" fontId="9" fillId="0" borderId="45" xfId="0" applyNumberFormat="1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2" fontId="9" fillId="0" borderId="44" xfId="0" applyNumberFormat="1" applyFont="1" applyBorder="1" applyAlignment="1">
      <alignment horizontal="center" vertical="center"/>
    </xf>
    <xf numFmtId="2" fontId="9" fillId="0" borderId="45" xfId="0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 wrapText="1"/>
    </xf>
    <xf numFmtId="0" fontId="11" fillId="0" borderId="17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/>
    </xf>
    <xf numFmtId="0" fontId="11" fillId="0" borderId="19" xfId="2" applyFont="1" applyBorder="1" applyAlignment="1">
      <alignment horizontal="center" vertical="center"/>
    </xf>
    <xf numFmtId="0" fontId="11" fillId="0" borderId="11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16" xfId="2" applyFont="1" applyBorder="1" applyAlignment="1">
      <alignment horizontal="center" vertical="center" wrapText="1"/>
    </xf>
    <xf numFmtId="0" fontId="11" fillId="0" borderId="23" xfId="2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49" fontId="11" fillId="0" borderId="42" xfId="0" applyNumberFormat="1" applyFont="1" applyBorder="1" applyAlignment="1">
      <alignment horizontal="center" vertical="center" wrapText="1"/>
    </xf>
    <xf numFmtId="49" fontId="11" fillId="0" borderId="36" xfId="0" applyNumberFormat="1" applyFont="1" applyBorder="1" applyAlignment="1">
      <alignment horizontal="center" vertical="center" wrapText="1"/>
    </xf>
    <xf numFmtId="49" fontId="11" fillId="0" borderId="39" xfId="0" applyNumberFormat="1" applyFont="1" applyBorder="1" applyAlignment="1">
      <alignment horizontal="center" vertical="center" wrapText="1"/>
    </xf>
    <xf numFmtId="2" fontId="9" fillId="0" borderId="44" xfId="0" applyNumberFormat="1" applyFont="1" applyBorder="1" applyAlignment="1">
      <alignment horizontal="center" vertical="center" wrapText="1"/>
    </xf>
    <xf numFmtId="2" fontId="9" fillId="0" borderId="51" xfId="0" applyNumberFormat="1" applyFont="1" applyBorder="1" applyAlignment="1">
      <alignment horizontal="center" vertical="center" wrapText="1"/>
    </xf>
    <xf numFmtId="2" fontId="9" fillId="0" borderId="45" xfId="0" applyNumberFormat="1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5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55" xfId="0" applyFont="1" applyFill="1" applyBorder="1" applyAlignment="1">
      <alignment horizontal="center" vertical="center" wrapText="1"/>
    </xf>
    <xf numFmtId="2" fontId="11" fillId="0" borderId="56" xfId="0" applyNumberFormat="1" applyFont="1" applyBorder="1" applyAlignment="1">
      <alignment horizontal="center" vertical="center" wrapText="1"/>
    </xf>
    <xf numFmtId="2" fontId="11" fillId="0" borderId="48" xfId="0" applyNumberFormat="1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1" fontId="9" fillId="0" borderId="51" xfId="0" applyNumberFormat="1" applyFont="1" applyBorder="1" applyAlignment="1">
      <alignment horizontal="center" vertical="center" wrapText="1"/>
    </xf>
    <xf numFmtId="1" fontId="9" fillId="0" borderId="45" xfId="0" applyNumberFormat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2" fontId="11" fillId="0" borderId="46" xfId="0" applyNumberFormat="1" applyFont="1" applyBorder="1" applyAlignment="1">
      <alignment horizontal="center" vertical="center" wrapText="1"/>
    </xf>
    <xf numFmtId="0" fontId="11" fillId="2" borderId="5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5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" fontId="9" fillId="0" borderId="44" xfId="0" applyNumberFormat="1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2" fontId="9" fillId="0" borderId="51" xfId="0" applyNumberFormat="1" applyFont="1" applyBorder="1" applyAlignment="1">
      <alignment horizontal="center" vertical="center"/>
    </xf>
    <xf numFmtId="1" fontId="9" fillId="0" borderId="51" xfId="0" applyNumberFormat="1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 wrapText="1"/>
    </xf>
    <xf numFmtId="2" fontId="11" fillId="3" borderId="46" xfId="0" applyNumberFormat="1" applyFont="1" applyFill="1" applyBorder="1" applyAlignment="1">
      <alignment horizontal="center" vertical="center" wrapText="1"/>
    </xf>
    <xf numFmtId="2" fontId="11" fillId="3" borderId="56" xfId="0" applyNumberFormat="1" applyFont="1" applyFill="1" applyBorder="1" applyAlignment="1">
      <alignment horizontal="center" vertical="center" wrapText="1"/>
    </xf>
    <xf numFmtId="2" fontId="11" fillId="3" borderId="48" xfId="0" applyNumberFormat="1" applyFont="1" applyFill="1" applyBorder="1" applyAlignment="1">
      <alignment horizontal="center" vertical="center" wrapText="1"/>
    </xf>
    <xf numFmtId="0" fontId="9" fillId="0" borderId="42" xfId="0" quotePrefix="1" applyFont="1" applyBorder="1" applyAlignment="1">
      <alignment horizontal="center" vertical="center" wrapText="1"/>
    </xf>
    <xf numFmtId="0" fontId="9" fillId="0" borderId="36" xfId="0" quotePrefix="1" applyFont="1" applyBorder="1" applyAlignment="1">
      <alignment horizontal="center" vertical="center" wrapText="1"/>
    </xf>
    <xf numFmtId="0" fontId="9" fillId="0" borderId="39" xfId="0" quotePrefix="1" applyFont="1" applyBorder="1" applyAlignment="1">
      <alignment horizontal="center" vertical="center" wrapText="1"/>
    </xf>
    <xf numFmtId="0" fontId="9" fillId="0" borderId="42" xfId="0" quotePrefix="1" applyFont="1" applyBorder="1" applyAlignment="1">
      <alignment horizontal="center" vertical="center"/>
    </xf>
    <xf numFmtId="0" fontId="9" fillId="0" borderId="33" xfId="0" quotePrefix="1" applyFont="1" applyBorder="1" applyAlignment="1">
      <alignment horizontal="center" vertical="center"/>
    </xf>
    <xf numFmtId="0" fontId="9" fillId="0" borderId="51" xfId="0" quotePrefix="1" applyFont="1" applyBorder="1" applyAlignment="1">
      <alignment horizontal="center" vertical="center"/>
    </xf>
    <xf numFmtId="0" fontId="9" fillId="0" borderId="36" xfId="0" quotePrefix="1" applyFont="1" applyBorder="1" applyAlignment="1">
      <alignment horizontal="center" vertical="center"/>
    </xf>
    <xf numFmtId="2" fontId="11" fillId="0" borderId="3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43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1" fillId="2" borderId="6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6" xfId="0" applyFont="1" applyFill="1" applyBorder="1" applyAlignment="1">
      <alignment horizontal="center" vertical="center" wrapText="1"/>
    </xf>
    <xf numFmtId="0" fontId="11" fillId="2" borderId="36" xfId="0" applyFont="1" applyFill="1" applyBorder="1" applyAlignment="1">
      <alignment horizontal="center" vertical="center" wrapText="1"/>
    </xf>
    <xf numFmtId="0" fontId="11" fillId="2" borderId="58" xfId="0" applyFont="1" applyFill="1" applyBorder="1" applyAlignment="1">
      <alignment horizontal="center" vertical="center" wrapText="1"/>
    </xf>
    <xf numFmtId="0" fontId="11" fillId="2" borderId="65" xfId="0" applyFont="1" applyFill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 wrapText="1"/>
    </xf>
    <xf numFmtId="2" fontId="9" fillId="0" borderId="58" xfId="0" applyNumberFormat="1" applyFont="1" applyBorder="1" applyAlignment="1">
      <alignment horizontal="center" vertical="center"/>
    </xf>
    <xf numFmtId="1" fontId="9" fillId="0" borderId="58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164" fontId="21" fillId="0" borderId="33" xfId="0" applyNumberFormat="1" applyFont="1" applyBorder="1" applyAlignment="1">
      <alignment horizontal="center" vertical="center"/>
    </xf>
    <xf numFmtId="164" fontId="21" fillId="0" borderId="39" xfId="0" applyNumberFormat="1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34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164" fontId="21" fillId="0" borderId="42" xfId="0" applyNumberFormat="1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/>
    </xf>
    <xf numFmtId="164" fontId="21" fillId="0" borderId="36" xfId="0" applyNumberFormat="1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164" fontId="21" fillId="0" borderId="42" xfId="0" applyNumberFormat="1" applyFont="1" applyBorder="1" applyAlignment="1">
      <alignment horizontal="center" vertical="center" wrapText="1"/>
    </xf>
    <xf numFmtId="164" fontId="21" fillId="0" borderId="39" xfId="0" applyNumberFormat="1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/>
    </xf>
    <xf numFmtId="164" fontId="21" fillId="0" borderId="44" xfId="0" applyNumberFormat="1" applyFont="1" applyBorder="1" applyAlignment="1">
      <alignment horizontal="center" vertical="center"/>
    </xf>
    <xf numFmtId="164" fontId="21" fillId="0" borderId="51" xfId="0" applyNumberFormat="1" applyFont="1" applyBorder="1" applyAlignment="1">
      <alignment horizontal="center" vertical="center"/>
    </xf>
    <xf numFmtId="164" fontId="21" fillId="0" borderId="45" xfId="0" applyNumberFormat="1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17" xfId="0" applyFont="1" applyFill="1" applyBorder="1" applyAlignment="1">
      <alignment horizontal="center" vertical="center" wrapText="1"/>
    </xf>
    <xf numFmtId="0" fontId="27" fillId="2" borderId="23" xfId="0" applyFont="1" applyFill="1" applyBorder="1" applyAlignment="1">
      <alignment horizontal="center" vertical="center" wrapText="1"/>
    </xf>
    <xf numFmtId="2" fontId="21" fillId="2" borderId="42" xfId="0" applyNumberFormat="1" applyFont="1" applyFill="1" applyBorder="1" applyAlignment="1">
      <alignment horizontal="center" vertical="center"/>
    </xf>
    <xf numFmtId="2" fontId="21" fillId="2" borderId="36" xfId="0" applyNumberFormat="1" applyFont="1" applyFill="1" applyBorder="1" applyAlignment="1">
      <alignment horizontal="center" vertical="center"/>
    </xf>
    <xf numFmtId="2" fontId="21" fillId="2" borderId="39" xfId="0" applyNumberFormat="1" applyFont="1" applyFill="1" applyBorder="1" applyAlignment="1">
      <alignment horizontal="center" vertical="center"/>
    </xf>
    <xf numFmtId="0" fontId="21" fillId="2" borderId="42" xfId="0" applyFont="1" applyFill="1" applyBorder="1" applyAlignment="1">
      <alignment horizontal="center" vertical="center" wrapText="1"/>
    </xf>
    <xf numFmtId="0" fontId="21" fillId="2" borderId="36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18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6" xfId="0" applyFont="1" applyFill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center" wrapText="1"/>
    </xf>
    <xf numFmtId="0" fontId="11" fillId="3" borderId="41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2" fontId="21" fillId="0" borderId="42" xfId="0" applyNumberFormat="1" applyFont="1" applyBorder="1" applyAlignment="1">
      <alignment horizontal="center" vertical="center" wrapText="1"/>
    </xf>
    <xf numFmtId="2" fontId="21" fillId="0" borderId="39" xfId="0" applyNumberFormat="1" applyFont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2" fontId="21" fillId="2" borderId="44" xfId="0" applyNumberFormat="1" applyFont="1" applyFill="1" applyBorder="1" applyAlignment="1">
      <alignment horizontal="center" vertical="center" wrapText="1"/>
    </xf>
    <xf numFmtId="2" fontId="21" fillId="2" borderId="51" xfId="0" applyNumberFormat="1" applyFont="1" applyFill="1" applyBorder="1" applyAlignment="1">
      <alignment horizontal="center" vertical="center" wrapText="1"/>
    </xf>
    <xf numFmtId="2" fontId="21" fillId="2" borderId="45" xfId="0" applyNumberFormat="1" applyFont="1" applyFill="1" applyBorder="1" applyAlignment="1">
      <alignment horizontal="center" vertical="center" wrapText="1"/>
    </xf>
    <xf numFmtId="0" fontId="23" fillId="2" borderId="42" xfId="0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center" wrapText="1"/>
    </xf>
    <xf numFmtId="0" fontId="23" fillId="2" borderId="39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11" fillId="2" borderId="78" xfId="0" applyFont="1" applyFill="1" applyBorder="1" applyAlignment="1">
      <alignment horizontal="center" vertical="center" wrapText="1"/>
    </xf>
    <xf numFmtId="0" fontId="11" fillId="2" borderId="38" xfId="0" applyFont="1" applyFill="1" applyBorder="1" applyAlignment="1">
      <alignment horizontal="center" vertical="center" wrapText="1"/>
    </xf>
    <xf numFmtId="2" fontId="21" fillId="2" borderId="58" xfId="0" applyNumberFormat="1" applyFont="1" applyFill="1" applyBorder="1" applyAlignment="1">
      <alignment horizontal="center" vertical="center"/>
    </xf>
    <xf numFmtId="2" fontId="21" fillId="2" borderId="42" xfId="0" applyNumberFormat="1" applyFont="1" applyFill="1" applyBorder="1" applyAlignment="1">
      <alignment horizontal="center" vertical="center" wrapText="1"/>
    </xf>
    <xf numFmtId="2" fontId="21" fillId="2" borderId="36" xfId="0" applyNumberFormat="1" applyFont="1" applyFill="1" applyBorder="1" applyAlignment="1">
      <alignment horizontal="center" vertical="center" wrapText="1"/>
    </xf>
    <xf numFmtId="2" fontId="21" fillId="2" borderId="39" xfId="0" applyNumberFormat="1" applyFont="1" applyFill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2" fontId="21" fillId="0" borderId="44" xfId="0" applyNumberFormat="1" applyFont="1" applyBorder="1" applyAlignment="1">
      <alignment horizontal="center" vertical="center" wrapText="1"/>
    </xf>
    <xf numFmtId="2" fontId="21" fillId="0" borderId="51" xfId="0" applyNumberFormat="1" applyFont="1" applyBorder="1" applyAlignment="1">
      <alignment horizontal="center" vertical="center" wrapText="1"/>
    </xf>
    <xf numFmtId="2" fontId="21" fillId="0" borderId="45" xfId="0" applyNumberFormat="1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2" borderId="58" xfId="0" applyFont="1" applyFill="1" applyBorder="1" applyAlignment="1">
      <alignment horizontal="center" vertical="center" wrapText="1"/>
    </xf>
    <xf numFmtId="0" fontId="21" fillId="0" borderId="72" xfId="0" applyFont="1" applyBorder="1" applyAlignment="1">
      <alignment horizontal="center" vertical="center" wrapText="1"/>
    </xf>
    <xf numFmtId="0" fontId="21" fillId="0" borderId="61" xfId="0" applyFont="1" applyBorder="1" applyAlignment="1">
      <alignment horizontal="center" vertical="center" wrapText="1"/>
    </xf>
    <xf numFmtId="0" fontId="21" fillId="0" borderId="63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2" borderId="56" xfId="0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 wrapText="1"/>
    </xf>
    <xf numFmtId="2" fontId="9" fillId="2" borderId="44" xfId="0" applyNumberFormat="1" applyFont="1" applyFill="1" applyBorder="1" applyAlignment="1">
      <alignment horizontal="center" vertical="center" wrapText="1"/>
    </xf>
    <xf numFmtId="2" fontId="9" fillId="2" borderId="51" xfId="0" applyNumberFormat="1" applyFont="1" applyFill="1" applyBorder="1" applyAlignment="1">
      <alignment horizontal="center" vertical="center" wrapText="1"/>
    </xf>
    <xf numFmtId="2" fontId="9" fillId="2" borderId="45" xfId="0" applyNumberFormat="1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0" fontId="9" fillId="2" borderId="51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 wrapText="1"/>
    </xf>
    <xf numFmtId="0" fontId="21" fillId="2" borderId="51" xfId="0" applyFont="1" applyFill="1" applyBorder="1" applyAlignment="1">
      <alignment horizontal="center"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3" fillId="2" borderId="51" xfId="0" applyFont="1" applyFill="1" applyBorder="1" applyAlignment="1">
      <alignment horizontal="center" vertical="center" wrapText="1"/>
    </xf>
    <xf numFmtId="0" fontId="21" fillId="0" borderId="74" xfId="0" applyFont="1" applyBorder="1" applyAlignment="1">
      <alignment horizontal="center" vertical="center" wrapText="1"/>
    </xf>
    <xf numFmtId="0" fontId="21" fillId="0" borderId="80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11" fillId="3" borderId="78" xfId="0" applyFont="1" applyFill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3" fillId="2" borderId="58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5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0" borderId="79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59" xfId="0" applyFont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54" fillId="0" borderId="84" xfId="0" applyFont="1" applyBorder="1" applyAlignment="1">
      <alignment horizontal="center" vertical="center"/>
    </xf>
    <xf numFmtId="0" fontId="54" fillId="0" borderId="0" xfId="2" applyFont="1" applyAlignment="1">
      <alignment horizontal="center" vertical="center" wrapText="1"/>
    </xf>
    <xf numFmtId="2" fontId="11" fillId="0" borderId="2" xfId="2" applyNumberFormat="1" applyFont="1" applyBorder="1" applyAlignment="1">
      <alignment horizontal="center" vertical="center" wrapText="1"/>
    </xf>
    <xf numFmtId="2" fontId="11" fillId="0" borderId="17" xfId="2" applyNumberFormat="1" applyFont="1" applyBorder="1" applyAlignment="1">
      <alignment horizontal="center" vertical="center" wrapText="1"/>
    </xf>
    <xf numFmtId="2" fontId="9" fillId="0" borderId="42" xfId="2" applyNumberFormat="1" applyFont="1" applyBorder="1" applyAlignment="1">
      <alignment horizontal="center" vertical="center"/>
    </xf>
    <xf numFmtId="2" fontId="9" fillId="0" borderId="36" xfId="2" applyNumberFormat="1" applyFont="1" applyBorder="1" applyAlignment="1">
      <alignment horizontal="center" vertical="center"/>
    </xf>
    <xf numFmtId="0" fontId="9" fillId="0" borderId="42" xfId="2" applyFont="1" applyBorder="1" applyAlignment="1">
      <alignment horizontal="center" vertical="center"/>
    </xf>
    <xf numFmtId="0" fontId="9" fillId="0" borderId="36" xfId="2" applyFont="1" applyBorder="1" applyAlignment="1">
      <alignment horizontal="center" vertical="center"/>
    </xf>
    <xf numFmtId="0" fontId="9" fillId="0" borderId="39" xfId="2" applyFont="1" applyBorder="1" applyAlignment="1">
      <alignment horizontal="center" vertical="center"/>
    </xf>
    <xf numFmtId="2" fontId="11" fillId="0" borderId="23" xfId="2" applyNumberFormat="1" applyFont="1" applyBorder="1" applyAlignment="1">
      <alignment horizontal="center" vertical="center" wrapText="1"/>
    </xf>
    <xf numFmtId="2" fontId="11" fillId="0" borderId="10" xfId="2" applyNumberFormat="1" applyFont="1" applyBorder="1" applyAlignment="1">
      <alignment horizontal="center" vertical="center" wrapText="1"/>
    </xf>
    <xf numFmtId="0" fontId="11" fillId="0" borderId="32" xfId="2" applyFont="1" applyBorder="1" applyAlignment="1">
      <alignment horizontal="center" vertical="center"/>
    </xf>
    <xf numFmtId="0" fontId="11" fillId="0" borderId="38" xfId="2" applyFont="1" applyBorder="1" applyAlignment="1">
      <alignment horizontal="center" vertical="center"/>
    </xf>
    <xf numFmtId="0" fontId="11" fillId="0" borderId="33" xfId="4" applyFont="1" applyBorder="1" applyAlignment="1">
      <alignment horizontal="center" vertical="center" wrapText="1"/>
    </xf>
    <xf numFmtId="0" fontId="11" fillId="0" borderId="39" xfId="4" applyFont="1" applyBorder="1" applyAlignment="1">
      <alignment horizontal="center" vertical="center" wrapText="1"/>
    </xf>
    <xf numFmtId="2" fontId="9" fillId="0" borderId="33" xfId="4" applyNumberFormat="1" applyFont="1" applyBorder="1" applyAlignment="1">
      <alignment horizontal="center" vertical="center" wrapText="1"/>
    </xf>
    <xf numFmtId="2" fontId="9" fillId="0" borderId="39" xfId="4" applyNumberFormat="1" applyFont="1" applyBorder="1" applyAlignment="1">
      <alignment horizontal="center" vertical="center" wrapText="1"/>
    </xf>
    <xf numFmtId="0" fontId="9" fillId="0" borderId="33" xfId="4" applyFont="1" applyBorder="1" applyAlignment="1">
      <alignment horizontal="center" vertical="center" wrapText="1"/>
    </xf>
    <xf numFmtId="0" fontId="9" fillId="0" borderId="39" xfId="4" applyFont="1" applyBorder="1" applyAlignment="1">
      <alignment horizontal="center" vertical="center" wrapText="1"/>
    </xf>
    <xf numFmtId="0" fontId="9" fillId="0" borderId="33" xfId="4" applyFont="1" applyBorder="1" applyAlignment="1">
      <alignment horizontal="center" vertical="center"/>
    </xf>
    <xf numFmtId="0" fontId="9" fillId="0" borderId="39" xfId="4" applyFont="1" applyBorder="1" applyAlignment="1">
      <alignment horizontal="center" vertical="center"/>
    </xf>
    <xf numFmtId="3" fontId="9" fillId="0" borderId="33" xfId="2" applyNumberFormat="1" applyFont="1" applyBorder="1" applyAlignment="1">
      <alignment horizontal="center" vertical="center"/>
    </xf>
    <xf numFmtId="3" fontId="9" fillId="0" borderId="39" xfId="2" applyNumberFormat="1" applyFont="1" applyBorder="1" applyAlignment="1">
      <alignment horizontal="center" vertical="center"/>
    </xf>
    <xf numFmtId="3" fontId="9" fillId="0" borderId="33" xfId="2" applyNumberFormat="1" applyFont="1" applyBorder="1" applyAlignment="1">
      <alignment horizontal="center" vertical="center" wrapText="1"/>
    </xf>
    <xf numFmtId="3" fontId="9" fillId="0" borderId="39" xfId="2" applyNumberFormat="1" applyFont="1" applyBorder="1" applyAlignment="1">
      <alignment horizontal="center" vertical="center" wrapText="1"/>
    </xf>
    <xf numFmtId="0" fontId="9" fillId="0" borderId="34" xfId="2" applyFont="1" applyBorder="1" applyAlignment="1">
      <alignment horizontal="center" vertical="center"/>
    </xf>
    <xf numFmtId="0" fontId="9" fillId="0" borderId="40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1" fillId="0" borderId="39" xfId="2" applyFont="1" applyBorder="1" applyAlignment="1">
      <alignment horizontal="center" vertical="center"/>
    </xf>
    <xf numFmtId="2" fontId="9" fillId="0" borderId="44" xfId="4" applyNumberFormat="1" applyFont="1" applyBorder="1" applyAlignment="1">
      <alignment horizontal="center" vertical="center" wrapText="1"/>
    </xf>
    <xf numFmtId="2" fontId="9" fillId="0" borderId="45" xfId="4" applyNumberFormat="1" applyFont="1" applyBorder="1" applyAlignment="1">
      <alignment horizontal="center" vertical="center" wrapText="1"/>
    </xf>
    <xf numFmtId="3" fontId="9" fillId="0" borderId="42" xfId="2" applyNumberFormat="1" applyFont="1" applyBorder="1" applyAlignment="1">
      <alignment horizontal="center" vertical="center"/>
    </xf>
    <xf numFmtId="3" fontId="9" fillId="0" borderId="42" xfId="2" applyNumberFormat="1" applyFont="1" applyBorder="1" applyAlignment="1">
      <alignment horizontal="center" vertical="center" wrapText="1"/>
    </xf>
    <xf numFmtId="0" fontId="9" fillId="0" borderId="43" xfId="2" applyFont="1" applyBorder="1" applyAlignment="1">
      <alignment horizontal="center" vertical="center" wrapText="1"/>
    </xf>
    <xf numFmtId="0" fontId="9" fillId="0" borderId="4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39" xfId="2" applyFont="1" applyBorder="1" applyAlignment="1">
      <alignment horizontal="center" vertical="center" wrapText="1"/>
    </xf>
    <xf numFmtId="2" fontId="9" fillId="0" borderId="39" xfId="2" applyNumberFormat="1" applyFont="1" applyBorder="1" applyAlignment="1">
      <alignment horizontal="center" vertical="center"/>
    </xf>
    <xf numFmtId="3" fontId="9" fillId="0" borderId="36" xfId="2" applyNumberFormat="1" applyFont="1" applyBorder="1" applyAlignment="1">
      <alignment horizontal="center" vertical="center" wrapText="1"/>
    </xf>
    <xf numFmtId="0" fontId="9" fillId="0" borderId="37" xfId="2" applyFont="1" applyBorder="1" applyAlignment="1">
      <alignment horizontal="center" vertical="center" wrapText="1"/>
    </xf>
    <xf numFmtId="2" fontId="9" fillId="0" borderId="42" xfId="2" applyNumberFormat="1" applyFont="1" applyBorder="1" applyAlignment="1">
      <alignment horizontal="center" vertical="center" wrapText="1"/>
    </xf>
    <xf numFmtId="2" fontId="9" fillId="0" borderId="39" xfId="2" applyNumberFormat="1" applyFont="1" applyBorder="1" applyAlignment="1">
      <alignment horizontal="center" vertical="center" wrapText="1"/>
    </xf>
    <xf numFmtId="2" fontId="9" fillId="0" borderId="36" xfId="2" applyNumberFormat="1" applyFont="1" applyBorder="1" applyAlignment="1">
      <alignment horizontal="center" vertical="center" wrapText="1"/>
    </xf>
    <xf numFmtId="0" fontId="9" fillId="0" borderId="42" xfId="2" applyFont="1" applyBorder="1" applyAlignment="1">
      <alignment horizontal="center" vertical="center" wrapText="1"/>
    </xf>
    <xf numFmtId="0" fontId="9" fillId="0" borderId="39" xfId="2" applyFont="1" applyBorder="1" applyAlignment="1">
      <alignment horizontal="center" vertical="center" wrapText="1"/>
    </xf>
    <xf numFmtId="0" fontId="9" fillId="0" borderId="43" xfId="2" applyFont="1" applyBorder="1" applyAlignment="1">
      <alignment horizontal="center" vertical="center"/>
    </xf>
    <xf numFmtId="0" fontId="9" fillId="0" borderId="36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/>
    </xf>
    <xf numFmtId="0" fontId="9" fillId="0" borderId="37" xfId="2" applyFont="1" applyBorder="1" applyAlignment="1">
      <alignment horizontal="center" vertical="center"/>
    </xf>
    <xf numFmtId="3" fontId="9" fillId="0" borderId="36" xfId="2" applyNumberFormat="1" applyFont="1" applyBorder="1" applyAlignment="1">
      <alignment horizontal="center" vertical="center"/>
    </xf>
    <xf numFmtId="164" fontId="9" fillId="0" borderId="42" xfId="2" applyNumberFormat="1" applyFont="1" applyBorder="1" applyAlignment="1">
      <alignment horizontal="center" vertical="center"/>
    </xf>
    <xf numFmtId="164" fontId="9" fillId="0" borderId="39" xfId="2" applyNumberFormat="1" applyFont="1" applyBorder="1" applyAlignment="1">
      <alignment horizontal="center" vertical="center"/>
    </xf>
    <xf numFmtId="0" fontId="9" fillId="3" borderId="36" xfId="2" applyFont="1" applyFill="1" applyBorder="1" applyAlignment="1">
      <alignment horizontal="center" vertical="center" wrapText="1"/>
    </xf>
    <xf numFmtId="1" fontId="9" fillId="0" borderId="42" xfId="2" applyNumberFormat="1" applyFont="1" applyBorder="1" applyAlignment="1">
      <alignment horizontal="center" vertical="center"/>
    </xf>
    <xf numFmtId="1" fontId="9" fillId="0" borderId="36" xfId="2" applyNumberFormat="1" applyFont="1" applyBorder="1" applyAlignment="1">
      <alignment horizontal="center" vertical="center"/>
    </xf>
    <xf numFmtId="1" fontId="9" fillId="0" borderId="39" xfId="2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11" fillId="0" borderId="42" xfId="3" applyFont="1" applyBorder="1" applyAlignment="1">
      <alignment horizontal="center" vertical="center" wrapText="1"/>
    </xf>
    <xf numFmtId="0" fontId="11" fillId="0" borderId="36" xfId="3" applyFont="1" applyBorder="1" applyAlignment="1">
      <alignment horizontal="center" vertical="center" wrapText="1"/>
    </xf>
    <xf numFmtId="0" fontId="11" fillId="0" borderId="39" xfId="3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/>
    </xf>
    <xf numFmtId="0" fontId="53" fillId="0" borderId="0" xfId="0" applyFont="1" applyAlignment="1">
      <alignment horizontal="center"/>
    </xf>
    <xf numFmtId="0" fontId="7" fillId="0" borderId="74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80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0" borderId="16" xfId="0" applyNumberFormat="1" applyFont="1" applyBorder="1" applyAlignment="1">
      <alignment horizontal="center" vertical="center" wrapText="1"/>
    </xf>
    <xf numFmtId="164" fontId="7" fillId="0" borderId="23" xfId="0" applyNumberFormat="1" applyFont="1" applyBorder="1" applyAlignment="1">
      <alignment horizontal="center" vertical="center" wrapText="1"/>
    </xf>
    <xf numFmtId="164" fontId="7" fillId="0" borderId="10" xfId="0" applyNumberFormat="1" applyFont="1" applyBorder="1" applyAlignment="1">
      <alignment horizontal="center" vertical="center" wrapText="1"/>
    </xf>
    <xf numFmtId="49" fontId="11" fillId="0" borderId="41" xfId="0" applyNumberFormat="1" applyFont="1" applyBorder="1" applyAlignment="1">
      <alignment horizontal="center" vertical="center" wrapText="1"/>
    </xf>
    <xf numFmtId="49" fontId="11" fillId="0" borderId="35" xfId="0" applyNumberFormat="1" applyFont="1" applyBorder="1" applyAlignment="1">
      <alignment horizontal="center" vertical="center" wrapText="1"/>
    </xf>
    <xf numFmtId="49" fontId="11" fillId="0" borderId="38" xfId="0" applyNumberFormat="1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 wrapText="1"/>
    </xf>
    <xf numFmtId="49" fontId="11" fillId="0" borderId="46" xfId="0" applyNumberFormat="1" applyFont="1" applyBorder="1" applyAlignment="1">
      <alignment horizontal="center" vertical="center" wrapText="1"/>
    </xf>
    <xf numFmtId="49" fontId="11" fillId="0" borderId="56" xfId="0" applyNumberFormat="1" applyFont="1" applyBorder="1" applyAlignment="1">
      <alignment horizontal="center" vertical="center" wrapText="1"/>
    </xf>
    <xf numFmtId="49" fontId="11" fillId="0" borderId="48" xfId="0" applyNumberFormat="1" applyFont="1" applyBorder="1" applyAlignment="1">
      <alignment horizontal="center" vertical="center" wrapText="1"/>
    </xf>
    <xf numFmtId="0" fontId="36" fillId="0" borderId="44" xfId="3" applyFont="1" applyBorder="1" applyAlignment="1">
      <alignment horizontal="center" vertical="center" wrapText="1"/>
    </xf>
    <xf numFmtId="0" fontId="36" fillId="0" borderId="51" xfId="3" applyFont="1" applyBorder="1" applyAlignment="1">
      <alignment horizontal="center" vertical="center" wrapText="1"/>
    </xf>
    <xf numFmtId="0" fontId="36" fillId="0" borderId="45" xfId="3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 wrapText="1"/>
    </xf>
    <xf numFmtId="0" fontId="36" fillId="0" borderId="33" xfId="3" applyFont="1" applyBorder="1" applyAlignment="1">
      <alignment horizontal="center" vertical="center" wrapText="1"/>
    </xf>
    <xf numFmtId="0" fontId="36" fillId="0" borderId="39" xfId="3" applyFont="1" applyBorder="1" applyAlignment="1">
      <alignment horizontal="center" vertical="center" wrapText="1"/>
    </xf>
    <xf numFmtId="2" fontId="9" fillId="0" borderId="33" xfId="0" applyNumberFormat="1" applyFont="1" applyBorder="1" applyAlignment="1">
      <alignment horizontal="center" vertical="center" wrapText="1"/>
    </xf>
    <xf numFmtId="1" fontId="9" fillId="0" borderId="33" xfId="0" applyNumberFormat="1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0" fontId="51" fillId="0" borderId="61" xfId="0" applyFont="1" applyBorder="1" applyAlignment="1">
      <alignment horizontal="center" vertical="center"/>
    </xf>
    <xf numFmtId="0" fontId="51" fillId="0" borderId="90" xfId="0" applyFont="1" applyBorder="1" applyAlignment="1">
      <alignment horizontal="center" vertical="center"/>
    </xf>
    <xf numFmtId="0" fontId="51" fillId="0" borderId="91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/>
    </xf>
    <xf numFmtId="0" fontId="7" fillId="0" borderId="90" xfId="0" applyFont="1" applyBorder="1" applyAlignment="1">
      <alignment horizontal="center"/>
    </xf>
    <xf numFmtId="0" fontId="7" fillId="0" borderId="91" xfId="0" applyFont="1" applyBorder="1" applyAlignment="1">
      <alignment horizontal="center"/>
    </xf>
    <xf numFmtId="0" fontId="51" fillId="0" borderId="61" xfId="0" applyFont="1" applyBorder="1" applyAlignment="1">
      <alignment horizontal="center" wrapText="1"/>
    </xf>
    <xf numFmtId="0" fontId="51" fillId="0" borderId="90" xfId="0" applyFont="1" applyBorder="1" applyAlignment="1">
      <alignment horizontal="center" wrapText="1"/>
    </xf>
    <xf numFmtId="0" fontId="51" fillId="0" borderId="91" xfId="0" applyFont="1" applyBorder="1" applyAlignment="1">
      <alignment horizontal="center" wrapText="1"/>
    </xf>
    <xf numFmtId="2" fontId="9" fillId="0" borderId="44" xfId="2" applyNumberFormat="1" applyFont="1" applyBorder="1" applyAlignment="1">
      <alignment horizontal="center" vertical="center"/>
    </xf>
    <xf numFmtId="2" fontId="9" fillId="0" borderId="45" xfId="2" applyNumberFormat="1" applyFont="1" applyBorder="1" applyAlignment="1">
      <alignment horizontal="center" vertical="center"/>
    </xf>
    <xf numFmtId="0" fontId="54" fillId="0" borderId="0" xfId="2" applyFont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10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7" fillId="0" borderId="50" xfId="2" applyFont="1" applyBorder="1" applyAlignment="1">
      <alignment horizontal="center" vertical="center" wrapText="1"/>
    </xf>
    <xf numFmtId="0" fontId="7" fillId="0" borderId="25" xfId="2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 wrapText="1"/>
    </xf>
    <xf numFmtId="0" fontId="7" fillId="0" borderId="19" xfId="2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/>
    </xf>
    <xf numFmtId="0" fontId="7" fillId="0" borderId="19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 wrapText="1"/>
    </xf>
    <xf numFmtId="0" fontId="7" fillId="0" borderId="12" xfId="2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7" fillId="0" borderId="23" xfId="2" applyFont="1" applyBorder="1" applyAlignment="1">
      <alignment horizontal="center" vertical="center" wrapText="1"/>
    </xf>
    <xf numFmtId="0" fontId="11" fillId="0" borderId="33" xfId="2" applyFont="1" applyBorder="1" applyAlignment="1">
      <alignment horizontal="center" vertical="center" wrapText="1"/>
    </xf>
    <xf numFmtId="2" fontId="9" fillId="0" borderId="33" xfId="2" applyNumberFormat="1" applyFont="1" applyBorder="1" applyAlignment="1">
      <alignment horizontal="center" vertical="center"/>
    </xf>
    <xf numFmtId="0" fontId="9" fillId="0" borderId="51" xfId="2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/>
    </xf>
    <xf numFmtId="0" fontId="9" fillId="0" borderId="51" xfId="2" applyFont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9" fillId="0" borderId="57" xfId="2" applyFont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 wrapText="1"/>
    </xf>
    <xf numFmtId="0" fontId="11" fillId="0" borderId="42" xfId="5" applyFont="1" applyBorder="1" applyAlignment="1">
      <alignment horizontal="center" vertical="center" wrapText="1"/>
    </xf>
    <xf numFmtId="0" fontId="11" fillId="0" borderId="39" xfId="5" applyFont="1" applyBorder="1" applyAlignment="1">
      <alignment horizontal="center" vertical="center" wrapText="1"/>
    </xf>
    <xf numFmtId="2" fontId="9" fillId="0" borderId="42" xfId="5" applyNumberFormat="1" applyFont="1" applyBorder="1" applyAlignment="1">
      <alignment horizontal="center" vertical="center"/>
    </xf>
    <xf numFmtId="2" fontId="9" fillId="0" borderId="39" xfId="5" applyNumberFormat="1" applyFont="1" applyBorder="1" applyAlignment="1">
      <alignment horizontal="center" vertical="center"/>
    </xf>
    <xf numFmtId="0" fontId="9" fillId="0" borderId="42" xfId="5" applyFont="1" applyBorder="1" applyAlignment="1">
      <alignment horizontal="center" vertical="center" wrapText="1"/>
    </xf>
    <xf numFmtId="0" fontId="9" fillId="0" borderId="39" xfId="5" applyFont="1" applyBorder="1" applyAlignment="1">
      <alignment horizontal="center" vertical="center" wrapText="1"/>
    </xf>
    <xf numFmtId="0" fontId="9" fillId="0" borderId="42" xfId="5" applyFont="1" applyBorder="1" applyAlignment="1">
      <alignment horizontal="center" vertical="center"/>
    </xf>
    <xf numFmtId="0" fontId="9" fillId="0" borderId="39" xfId="5" applyFont="1" applyBorder="1" applyAlignment="1">
      <alignment horizontal="center" vertical="center"/>
    </xf>
    <xf numFmtId="0" fontId="9" fillId="0" borderId="47" xfId="2" applyFont="1" applyBorder="1" applyAlignment="1">
      <alignment horizontal="center" vertical="center" wrapText="1"/>
    </xf>
    <xf numFmtId="0" fontId="9" fillId="0" borderId="47" xfId="2" applyFont="1" applyBorder="1" applyAlignment="1">
      <alignment horizontal="center" vertical="center"/>
    </xf>
    <xf numFmtId="0" fontId="9" fillId="0" borderId="49" xfId="2" applyFont="1" applyBorder="1" applyAlignment="1">
      <alignment horizontal="center" vertical="center"/>
    </xf>
    <xf numFmtId="49" fontId="9" fillId="0" borderId="42" xfId="2" applyNumberFormat="1" applyFont="1" applyBorder="1" applyAlignment="1">
      <alignment horizontal="center" vertical="center"/>
    </xf>
    <xf numFmtId="49" fontId="9" fillId="0" borderId="39" xfId="2" applyNumberFormat="1" applyFont="1" applyBorder="1" applyAlignment="1">
      <alignment horizontal="center" vertical="center"/>
    </xf>
    <xf numFmtId="1" fontId="9" fillId="0" borderId="42" xfId="2" applyNumberFormat="1" applyFont="1" applyBorder="1" applyAlignment="1">
      <alignment horizontal="center" vertical="center" wrapText="1"/>
    </xf>
    <xf numFmtId="1" fontId="9" fillId="0" borderId="36" xfId="2" applyNumberFormat="1" applyFont="1" applyBorder="1" applyAlignment="1">
      <alignment horizontal="center" vertical="center" wrapText="1"/>
    </xf>
    <xf numFmtId="1" fontId="9" fillId="0" borderId="39" xfId="2" applyNumberFormat="1" applyFont="1" applyBorder="1" applyAlignment="1">
      <alignment horizontal="center" vertical="center" wrapText="1"/>
    </xf>
    <xf numFmtId="0" fontId="9" fillId="3" borderId="42" xfId="2" applyFont="1" applyFill="1" applyBorder="1" applyAlignment="1">
      <alignment horizontal="center" vertical="center" wrapText="1"/>
    </xf>
    <xf numFmtId="0" fontId="9" fillId="3" borderId="39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49" fontId="11" fillId="0" borderId="32" xfId="2" applyNumberFormat="1" applyFont="1" applyBorder="1" applyAlignment="1">
      <alignment horizontal="center" vertical="center" wrapText="1"/>
    </xf>
    <xf numFmtId="49" fontId="11" fillId="0" borderId="35" xfId="2" applyNumberFormat="1" applyFont="1" applyBorder="1" applyAlignment="1">
      <alignment horizontal="center" vertical="center" wrapText="1"/>
    </xf>
    <xf numFmtId="49" fontId="11" fillId="0" borderId="38" xfId="2" applyNumberFormat="1" applyFont="1" applyBorder="1" applyAlignment="1">
      <alignment horizontal="center" vertical="center" wrapText="1"/>
    </xf>
    <xf numFmtId="49" fontId="11" fillId="0" borderId="33" xfId="2" applyNumberFormat="1" applyFont="1" applyBorder="1" applyAlignment="1">
      <alignment horizontal="center" vertical="center" wrapText="1"/>
    </xf>
    <xf numFmtId="49" fontId="11" fillId="0" borderId="36" xfId="2" applyNumberFormat="1" applyFont="1" applyBorder="1" applyAlignment="1">
      <alignment horizontal="center" vertical="center" wrapText="1"/>
    </xf>
    <xf numFmtId="49" fontId="11" fillId="0" borderId="39" xfId="2" applyNumberFormat="1" applyFont="1" applyBorder="1" applyAlignment="1">
      <alignment horizontal="center" vertical="center" wrapText="1"/>
    </xf>
    <xf numFmtId="2" fontId="9" fillId="0" borderId="33" xfId="2" applyNumberFormat="1" applyFont="1" applyBorder="1" applyAlignment="1">
      <alignment horizontal="center" vertical="center" wrapText="1"/>
    </xf>
    <xf numFmtId="1" fontId="9" fillId="0" borderId="33" xfId="2" applyNumberFormat="1" applyFont="1" applyBorder="1" applyAlignment="1">
      <alignment horizontal="center" vertical="center" wrapText="1"/>
    </xf>
    <xf numFmtId="49" fontId="9" fillId="0" borderId="33" xfId="2" applyNumberFormat="1" applyFont="1" applyBorder="1" applyAlignment="1">
      <alignment horizontal="center" vertical="center" wrapText="1"/>
    </xf>
    <xf numFmtId="49" fontId="9" fillId="0" borderId="36" xfId="2" applyNumberFormat="1" applyFont="1" applyBorder="1" applyAlignment="1">
      <alignment horizontal="center" vertical="center" wrapText="1"/>
    </xf>
    <xf numFmtId="49" fontId="9" fillId="0" borderId="39" xfId="2" applyNumberFormat="1" applyFont="1" applyBorder="1" applyAlignment="1">
      <alignment horizontal="center" vertical="center" wrapText="1"/>
    </xf>
    <xf numFmtId="0" fontId="9" fillId="0" borderId="33" xfId="2" applyFont="1" applyBorder="1" applyAlignment="1">
      <alignment horizontal="center" vertical="center" wrapText="1"/>
    </xf>
    <xf numFmtId="0" fontId="9" fillId="0" borderId="34" xfId="2" applyFont="1" applyBorder="1" applyAlignment="1">
      <alignment horizontal="center" vertical="center" wrapText="1"/>
    </xf>
    <xf numFmtId="49" fontId="9" fillId="0" borderId="43" xfId="2" applyNumberFormat="1" applyFont="1" applyBorder="1" applyAlignment="1">
      <alignment horizontal="center" vertical="center" wrapText="1"/>
    </xf>
    <xf numFmtId="49" fontId="9" fillId="0" borderId="40" xfId="2" applyNumberFormat="1" applyFont="1" applyBorder="1" applyAlignment="1">
      <alignment horizontal="center" vertical="center" wrapText="1"/>
    </xf>
    <xf numFmtId="49" fontId="11" fillId="0" borderId="41" xfId="2" applyNumberFormat="1" applyFont="1" applyBorder="1" applyAlignment="1">
      <alignment horizontal="center" vertical="center" wrapText="1"/>
    </xf>
    <xf numFmtId="49" fontId="11" fillId="0" borderId="42" xfId="2" applyNumberFormat="1" applyFont="1" applyBorder="1" applyAlignment="1">
      <alignment horizontal="center" vertical="center" wrapText="1"/>
    </xf>
    <xf numFmtId="49" fontId="9" fillId="0" borderId="42" xfId="2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1" fontId="9" fillId="0" borderId="44" xfId="2" applyNumberFormat="1" applyFont="1" applyBorder="1" applyAlignment="1">
      <alignment horizontal="center" vertical="center" wrapText="1"/>
    </xf>
    <xf numFmtId="1" fontId="9" fillId="0" borderId="51" xfId="2" applyNumberFormat="1" applyFont="1" applyBorder="1" applyAlignment="1">
      <alignment horizontal="center" vertical="center" wrapText="1"/>
    </xf>
    <xf numFmtId="1" fontId="9" fillId="0" borderId="45" xfId="2" applyNumberFormat="1" applyFont="1" applyBorder="1" applyAlignment="1">
      <alignment horizontal="center" vertical="center" wrapText="1"/>
    </xf>
    <xf numFmtId="49" fontId="9" fillId="0" borderId="44" xfId="2" applyNumberFormat="1" applyFont="1" applyBorder="1" applyAlignment="1">
      <alignment horizontal="center" vertical="center" wrapText="1"/>
    </xf>
    <xf numFmtId="49" fontId="9" fillId="0" borderId="51" xfId="2" applyNumberFormat="1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49" fontId="9" fillId="0" borderId="42" xfId="0" applyNumberFormat="1" applyFont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33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164" fontId="9" fillId="0" borderId="33" xfId="0" applyNumberFormat="1" applyFont="1" applyBorder="1" applyAlignment="1">
      <alignment horizontal="center" vertical="center" wrapText="1"/>
    </xf>
    <xf numFmtId="49" fontId="9" fillId="0" borderId="42" xfId="0" applyNumberFormat="1" applyFont="1" applyBorder="1" applyAlignment="1">
      <alignment horizontal="center" vertical="center"/>
    </xf>
    <xf numFmtId="49" fontId="9" fillId="0" borderId="39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2" fontId="11" fillId="0" borderId="42" xfId="0" applyNumberFormat="1" applyFont="1" applyBorder="1" applyAlignment="1">
      <alignment horizontal="center" vertical="center" wrapText="1"/>
    </xf>
    <xf numFmtId="2" fontId="9" fillId="0" borderId="42" xfId="1" applyNumberFormat="1" applyFont="1" applyFill="1" applyBorder="1" applyAlignment="1">
      <alignment horizontal="center" vertical="center" wrapText="1"/>
    </xf>
    <xf numFmtId="2" fontId="9" fillId="0" borderId="36" xfId="1" applyNumberFormat="1" applyFont="1" applyFill="1" applyBorder="1" applyAlignment="1">
      <alignment horizontal="center" vertical="center" wrapText="1"/>
    </xf>
    <xf numFmtId="2" fontId="9" fillId="0" borderId="39" xfId="1" applyNumberFormat="1" applyFont="1" applyFill="1" applyBorder="1" applyAlignment="1">
      <alignment horizontal="center" vertical="center" wrapText="1"/>
    </xf>
    <xf numFmtId="2" fontId="9" fillId="0" borderId="42" xfId="1" applyNumberFormat="1" applyFont="1" applyFill="1" applyBorder="1" applyAlignment="1">
      <alignment horizontal="center" vertical="center"/>
    </xf>
    <xf numFmtId="2" fontId="9" fillId="0" borderId="36" xfId="1" applyNumberFormat="1" applyFont="1" applyFill="1" applyBorder="1" applyAlignment="1">
      <alignment horizontal="center" vertical="center"/>
    </xf>
    <xf numFmtId="2" fontId="9" fillId="0" borderId="39" xfId="1" applyNumberFormat="1" applyFont="1" applyFill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 shrinkToFit="1"/>
    </xf>
    <xf numFmtId="0" fontId="9" fillId="0" borderId="36" xfId="0" applyFont="1" applyBorder="1" applyAlignment="1">
      <alignment horizontal="center" vertical="center" wrapText="1" shrinkToFit="1"/>
    </xf>
    <xf numFmtId="0" fontId="9" fillId="0" borderId="39" xfId="0" applyFont="1" applyBorder="1" applyAlignment="1">
      <alignment horizontal="center" vertical="center" wrapText="1" shrinkToFit="1"/>
    </xf>
    <xf numFmtId="164" fontId="9" fillId="3" borderId="36" xfId="0" applyNumberFormat="1" applyFont="1" applyFill="1" applyBorder="1" applyAlignment="1">
      <alignment horizontal="center" vertical="center" wrapText="1"/>
    </xf>
    <xf numFmtId="164" fontId="9" fillId="3" borderId="36" xfId="0" applyNumberFormat="1" applyFont="1" applyFill="1" applyBorder="1" applyAlignment="1">
      <alignment horizontal="center" vertical="center"/>
    </xf>
    <xf numFmtId="164" fontId="9" fillId="3" borderId="36" xfId="3" applyNumberFormat="1" applyFont="1" applyFill="1" applyBorder="1" applyAlignment="1">
      <alignment horizontal="center" vertical="center" wrapText="1"/>
    </xf>
    <xf numFmtId="164" fontId="9" fillId="3" borderId="39" xfId="3" applyNumberFormat="1" applyFont="1" applyFill="1" applyBorder="1" applyAlignment="1">
      <alignment horizontal="center" vertical="center" wrapText="1"/>
    </xf>
    <xf numFmtId="164" fontId="9" fillId="3" borderId="39" xfId="0" applyNumberFormat="1" applyFont="1" applyFill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0" fontId="16" fillId="0" borderId="83" xfId="0" applyFont="1" applyBorder="1" applyAlignment="1">
      <alignment horizontal="center" vertical="center"/>
    </xf>
    <xf numFmtId="0" fontId="7" fillId="0" borderId="66" xfId="2" applyFont="1" applyBorder="1" applyAlignment="1">
      <alignment horizontal="center" vertical="center" wrapText="1"/>
    </xf>
    <xf numFmtId="0" fontId="7" fillId="0" borderId="21" xfId="2" applyFont="1" applyBorder="1" applyAlignment="1">
      <alignment horizontal="center" vertical="center" wrapText="1"/>
    </xf>
    <xf numFmtId="0" fontId="7" fillId="0" borderId="26" xfId="2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28" xfId="2" applyFont="1" applyBorder="1" applyAlignment="1">
      <alignment horizontal="center" vertical="center" wrapText="1"/>
    </xf>
    <xf numFmtId="2" fontId="7" fillId="0" borderId="23" xfId="2" applyNumberFormat="1" applyFont="1" applyBorder="1" applyAlignment="1">
      <alignment horizontal="center" vertical="center" wrapText="1"/>
    </xf>
    <xf numFmtId="2" fontId="7" fillId="0" borderId="10" xfId="2" applyNumberFormat="1" applyFont="1" applyBorder="1" applyAlignment="1">
      <alignment horizontal="center" vertical="center" wrapText="1"/>
    </xf>
    <xf numFmtId="164" fontId="9" fillId="0" borderId="44" xfId="0" applyNumberFormat="1" applyFont="1" applyBorder="1" applyAlignment="1">
      <alignment horizontal="center" vertical="center" wrapText="1"/>
    </xf>
    <xf numFmtId="164" fontId="9" fillId="0" borderId="45" xfId="0" applyNumberFormat="1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3" fontId="9" fillId="0" borderId="44" xfId="0" applyNumberFormat="1" applyFont="1" applyBorder="1" applyAlignment="1">
      <alignment horizontal="center" vertical="center" wrapText="1"/>
    </xf>
    <xf numFmtId="3" fontId="9" fillId="0" borderId="45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7" fillId="0" borderId="66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2" fontId="9" fillId="0" borderId="58" xfId="0" applyNumberFormat="1" applyFont="1" applyBorder="1" applyAlignment="1">
      <alignment horizontal="center" vertical="center" wrapText="1"/>
    </xf>
    <xf numFmtId="1" fontId="9" fillId="0" borderId="58" xfId="0" applyNumberFormat="1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11" fillId="0" borderId="7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8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8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2" fontId="11" fillId="0" borderId="44" xfId="0" applyNumberFormat="1" applyFont="1" applyBorder="1" applyAlignment="1">
      <alignment horizontal="center" vertical="center" wrapText="1"/>
    </xf>
    <xf numFmtId="2" fontId="11" fillId="0" borderId="51" xfId="0" applyNumberFormat="1" applyFont="1" applyBorder="1" applyAlignment="1">
      <alignment horizontal="center" vertical="center" wrapText="1"/>
    </xf>
    <xf numFmtId="2" fontId="11" fillId="0" borderId="45" xfId="0" applyNumberFormat="1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 wrapText="1"/>
    </xf>
    <xf numFmtId="3" fontId="9" fillId="0" borderId="36" xfId="0" applyNumberFormat="1" applyFont="1" applyBorder="1" applyAlignment="1">
      <alignment horizontal="center" vertical="center" wrapText="1"/>
    </xf>
    <xf numFmtId="3" fontId="9" fillId="0" borderId="39" xfId="0" applyNumberFormat="1" applyFont="1" applyBorder="1" applyAlignment="1">
      <alignment horizontal="center" vertical="center" wrapText="1"/>
    </xf>
    <xf numFmtId="2" fontId="9" fillId="0" borderId="42" xfId="6" applyNumberFormat="1" applyFont="1" applyBorder="1" applyAlignment="1">
      <alignment horizontal="center" vertical="center"/>
    </xf>
    <xf numFmtId="2" fontId="9" fillId="0" borderId="39" xfId="6" applyNumberFormat="1" applyFont="1" applyBorder="1" applyAlignment="1">
      <alignment horizontal="center" vertical="center"/>
    </xf>
    <xf numFmtId="0" fontId="9" fillId="0" borderId="42" xfId="6" applyFont="1" applyBorder="1" applyAlignment="1">
      <alignment horizontal="center" vertical="center"/>
    </xf>
    <xf numFmtId="0" fontId="9" fillId="0" borderId="39" xfId="6" applyFont="1" applyBorder="1" applyAlignment="1">
      <alignment horizontal="center" vertical="center"/>
    </xf>
    <xf numFmtId="0" fontId="11" fillId="0" borderId="42" xfId="6" applyFont="1" applyBorder="1" applyAlignment="1">
      <alignment horizontal="center" vertical="center" wrapText="1"/>
    </xf>
    <xf numFmtId="0" fontId="11" fillId="0" borderId="39" xfId="6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9" fillId="0" borderId="43" xfId="0" applyNumberFormat="1" applyFont="1" applyBorder="1" applyAlignment="1">
      <alignment horizontal="center" vertical="center" wrapText="1"/>
    </xf>
    <xf numFmtId="3" fontId="9" fillId="0" borderId="37" xfId="0" applyNumberFormat="1" applyFont="1" applyBorder="1" applyAlignment="1">
      <alignment horizontal="center" vertical="center" wrapText="1"/>
    </xf>
    <xf numFmtId="3" fontId="9" fillId="0" borderId="40" xfId="0" applyNumberFormat="1" applyFont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 vertical="center" wrapText="1"/>
    </xf>
    <xf numFmtId="3" fontId="9" fillId="0" borderId="57" xfId="0" applyNumberFormat="1" applyFont="1" applyBorder="1" applyAlignment="1">
      <alignment horizontal="center" vertical="center" wrapText="1"/>
    </xf>
    <xf numFmtId="3" fontId="9" fillId="0" borderId="49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2" fontId="11" fillId="0" borderId="44" xfId="0" applyNumberFormat="1" applyFont="1" applyBorder="1" applyAlignment="1">
      <alignment horizontal="center" vertical="center" wrapText="1"/>
    </xf>
    <xf numFmtId="12" fontId="11" fillId="0" borderId="51" xfId="0" applyNumberFormat="1" applyFont="1" applyBorder="1" applyAlignment="1">
      <alignment horizontal="center" vertical="center" wrapText="1"/>
    </xf>
    <xf numFmtId="12" fontId="11" fillId="0" borderId="45" xfId="0" applyNumberFormat="1" applyFont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80" xfId="0" applyFont="1" applyBorder="1" applyAlignment="1">
      <alignment horizontal="center" vertical="center" wrapText="1"/>
    </xf>
    <xf numFmtId="0" fontId="11" fillId="0" borderId="76" xfId="0" applyFont="1" applyBorder="1" applyAlignment="1">
      <alignment horizontal="center" vertical="center" wrapText="1"/>
    </xf>
    <xf numFmtId="164" fontId="9" fillId="0" borderId="5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165" fontId="9" fillId="0" borderId="42" xfId="0" applyNumberFormat="1" applyFont="1" applyBorder="1" applyAlignment="1">
      <alignment horizontal="center" vertical="center" wrapText="1"/>
    </xf>
    <xf numFmtId="165" fontId="9" fillId="0" borderId="36" xfId="0" applyNumberFormat="1" applyFont="1" applyBorder="1" applyAlignment="1">
      <alignment horizontal="center" vertical="center" wrapText="1"/>
    </xf>
  </cellXfs>
  <cellStyles count="7">
    <cellStyle name="Comma" xfId="1" builtinId="3"/>
    <cellStyle name="Normal" xfId="0" builtinId="0"/>
    <cellStyle name="Normal 2" xfId="3" xr:uid="{76A79628-8C3B-439C-A87D-AD7B4BB4EF4C}"/>
    <cellStyle name="Parasts 2" xfId="2" xr:uid="{F01DF765-D6CB-426A-BA90-F052B3CF3905}"/>
    <cellStyle name="Parasts 2 2" xfId="4" xr:uid="{D7C6D24D-36D0-415A-943B-037DC071EDD7}"/>
    <cellStyle name="Parasts 3" xfId="5" xr:uid="{9A0DAFE7-C602-42EC-845B-76CAE271711E}"/>
    <cellStyle name="Parasts 4" xfId="6" xr:uid="{7DC914C9-18BC-413E-8EC0-109ED505E3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27A5-12A3-4D21-9467-7B0455939EA3}">
  <dimension ref="A1:AF40"/>
  <sheetViews>
    <sheetView tabSelected="1" workbookViewId="0">
      <selection activeCell="AF18" sqref="AF18"/>
    </sheetView>
  </sheetViews>
  <sheetFormatPr defaultRowHeight="14.4" x14ac:dyDescent="0.3"/>
  <cols>
    <col min="1" max="1" width="9" bestFit="1" customWidth="1"/>
    <col min="3" max="3" width="14.21875" customWidth="1"/>
    <col min="4" max="4" width="7.5546875" bestFit="1" customWidth="1"/>
    <col min="5" max="5" width="6.88671875" bestFit="1" customWidth="1"/>
    <col min="6" max="6" width="12.88671875" customWidth="1"/>
    <col min="7" max="7" width="7.33203125" bestFit="1" customWidth="1"/>
    <col min="8" max="8" width="10" bestFit="1" customWidth="1"/>
    <col min="9" max="9" width="23.77734375" customWidth="1"/>
    <col min="10" max="10" width="6.88671875" bestFit="1" customWidth="1"/>
    <col min="11" max="11" width="7.109375" bestFit="1" customWidth="1"/>
    <col min="12" max="12" width="7.33203125" bestFit="1" customWidth="1"/>
    <col min="13" max="13" width="10" bestFit="1" customWidth="1"/>
    <col min="14" max="14" width="7.5546875" bestFit="1" customWidth="1"/>
    <col min="15" max="15" width="6.88671875" bestFit="1" customWidth="1"/>
    <col min="16" max="16" width="7.109375" bestFit="1" customWidth="1"/>
    <col min="17" max="17" width="7.33203125" bestFit="1" customWidth="1"/>
    <col min="18" max="18" width="10" bestFit="1" customWidth="1"/>
    <col min="19" max="19" width="7.5546875" bestFit="1" customWidth="1"/>
    <col min="20" max="20" width="6.88671875" bestFit="1" customWidth="1"/>
    <col min="21" max="21" width="6.6640625" bestFit="1" customWidth="1"/>
    <col min="22" max="22" width="7.33203125" bestFit="1" customWidth="1"/>
    <col min="23" max="23" width="10" bestFit="1" customWidth="1"/>
    <col min="24" max="24" width="8.21875" bestFit="1" customWidth="1"/>
    <col min="25" max="25" width="7.109375" bestFit="1" customWidth="1"/>
    <col min="26" max="26" width="8.21875" bestFit="1" customWidth="1"/>
    <col min="27" max="27" width="7.33203125" bestFit="1" customWidth="1"/>
    <col min="28" max="28" width="10" bestFit="1" customWidth="1"/>
    <col min="29" max="29" width="7.5546875" bestFit="1" customWidth="1"/>
    <col min="31" max="31" width="20.44140625" customWidth="1"/>
  </cols>
  <sheetData>
    <row r="1" spans="1:32" s="59" customFormat="1" ht="18.600000000000001" thickBot="1" x14ac:dyDescent="0.3">
      <c r="A1" s="555" t="s">
        <v>3945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5"/>
      <c r="AF1" s="510"/>
    </row>
    <row r="2" spans="1:32" s="59" customFormat="1" thickBot="1" x14ac:dyDescent="0.3">
      <c r="A2" s="556" t="s">
        <v>3946</v>
      </c>
      <c r="B2" s="559" t="s">
        <v>3947</v>
      </c>
      <c r="C2" s="560"/>
      <c r="D2" s="565" t="s">
        <v>3948</v>
      </c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7"/>
      <c r="AC2" s="568" t="s">
        <v>3949</v>
      </c>
      <c r="AD2" s="569"/>
      <c r="AE2" s="570"/>
      <c r="AF2" s="510"/>
    </row>
    <row r="3" spans="1:32" s="59" customFormat="1" thickBot="1" x14ac:dyDescent="0.3">
      <c r="A3" s="557"/>
      <c r="B3" s="561"/>
      <c r="C3" s="562"/>
      <c r="D3" s="574" t="s">
        <v>3950</v>
      </c>
      <c r="E3" s="575"/>
      <c r="F3" s="575"/>
      <c r="G3" s="575"/>
      <c r="H3" s="576"/>
      <c r="I3" s="574" t="s">
        <v>3951</v>
      </c>
      <c r="J3" s="575"/>
      <c r="K3" s="575"/>
      <c r="L3" s="575"/>
      <c r="M3" s="577"/>
      <c r="N3" s="578" t="s">
        <v>3952</v>
      </c>
      <c r="O3" s="575"/>
      <c r="P3" s="575"/>
      <c r="Q3" s="575"/>
      <c r="R3" s="577"/>
      <c r="S3" s="578" t="s">
        <v>3953</v>
      </c>
      <c r="T3" s="575"/>
      <c r="U3" s="575"/>
      <c r="V3" s="575"/>
      <c r="W3" s="576"/>
      <c r="X3" s="574" t="s">
        <v>3954</v>
      </c>
      <c r="Y3" s="575"/>
      <c r="Z3" s="575"/>
      <c r="AA3" s="575"/>
      <c r="AB3" s="576"/>
      <c r="AC3" s="571"/>
      <c r="AD3" s="572"/>
      <c r="AE3" s="573"/>
      <c r="AF3" s="510"/>
    </row>
    <row r="4" spans="1:32" s="59" customFormat="1" ht="40.200000000000003" thickBot="1" x14ac:dyDescent="0.3">
      <c r="A4" s="558"/>
      <c r="B4" s="563"/>
      <c r="C4" s="564"/>
      <c r="D4" s="507" t="s">
        <v>3955</v>
      </c>
      <c r="E4" s="508" t="s">
        <v>3956</v>
      </c>
      <c r="F4" s="508" t="s">
        <v>3957</v>
      </c>
      <c r="G4" s="508" t="s">
        <v>3958</v>
      </c>
      <c r="H4" s="508" t="s">
        <v>3959</v>
      </c>
      <c r="I4" s="507" t="s">
        <v>3955</v>
      </c>
      <c r="J4" s="508" t="s">
        <v>3956</v>
      </c>
      <c r="K4" s="508" t="s">
        <v>3957</v>
      </c>
      <c r="L4" s="508" t="s">
        <v>3958</v>
      </c>
      <c r="M4" s="508" t="s">
        <v>3959</v>
      </c>
      <c r="N4" s="507" t="s">
        <v>3955</v>
      </c>
      <c r="O4" s="508" t="s">
        <v>3956</v>
      </c>
      <c r="P4" s="508" t="s">
        <v>3957</v>
      </c>
      <c r="Q4" s="508" t="s">
        <v>3958</v>
      </c>
      <c r="R4" s="508" t="s">
        <v>3959</v>
      </c>
      <c r="S4" s="507" t="s">
        <v>3955</v>
      </c>
      <c r="T4" s="508" t="s">
        <v>3956</v>
      </c>
      <c r="U4" s="508" t="s">
        <v>3957</v>
      </c>
      <c r="V4" s="508" t="s">
        <v>3958</v>
      </c>
      <c r="W4" s="508" t="s">
        <v>3959</v>
      </c>
      <c r="X4" s="507" t="s">
        <v>3955</v>
      </c>
      <c r="Y4" s="508" t="s">
        <v>3956</v>
      </c>
      <c r="Z4" s="508" t="s">
        <v>3957</v>
      </c>
      <c r="AA4" s="508" t="s">
        <v>3958</v>
      </c>
      <c r="AB4" s="508" t="s">
        <v>3959</v>
      </c>
      <c r="AC4" s="507" t="s">
        <v>3960</v>
      </c>
      <c r="AD4" s="579" t="s">
        <v>3961</v>
      </c>
      <c r="AE4" s="580"/>
      <c r="AF4" s="510"/>
    </row>
    <row r="5" spans="1:32" s="59" customFormat="1" ht="15" customHeight="1" thickBot="1" x14ac:dyDescent="0.3">
      <c r="A5" s="533">
        <v>1</v>
      </c>
      <c r="B5" s="541" t="s">
        <v>3962</v>
      </c>
      <c r="C5" s="542"/>
      <c r="D5" s="531">
        <v>10.16</v>
      </c>
      <c r="E5" s="532">
        <v>2.06</v>
      </c>
      <c r="F5" s="532">
        <v>8.1</v>
      </c>
      <c r="G5" s="532">
        <v>0</v>
      </c>
      <c r="H5" s="532">
        <v>0</v>
      </c>
      <c r="I5" s="531">
        <v>67.371000000000024</v>
      </c>
      <c r="J5" s="532">
        <v>0.9</v>
      </c>
      <c r="K5" s="532">
        <v>66.471000000000018</v>
      </c>
      <c r="L5" s="532">
        <v>0</v>
      </c>
      <c r="M5" s="532">
        <v>0</v>
      </c>
      <c r="N5" s="531">
        <v>6.7650000000000006</v>
      </c>
      <c r="O5" s="532">
        <v>0</v>
      </c>
      <c r="P5" s="532">
        <v>6.7650000000000006</v>
      </c>
      <c r="Q5" s="532">
        <v>0</v>
      </c>
      <c r="R5" s="532">
        <v>0</v>
      </c>
      <c r="S5" s="531">
        <v>0</v>
      </c>
      <c r="T5" s="532">
        <v>0</v>
      </c>
      <c r="U5" s="532">
        <v>0</v>
      </c>
      <c r="V5" s="532">
        <v>0</v>
      </c>
      <c r="W5" s="532">
        <v>0</v>
      </c>
      <c r="X5" s="531">
        <v>84.296000000000021</v>
      </c>
      <c r="Y5" s="532">
        <v>2.96</v>
      </c>
      <c r="Z5" s="532">
        <v>81.336000000000013</v>
      </c>
      <c r="AA5" s="532">
        <v>0</v>
      </c>
      <c r="AB5" s="532">
        <v>0</v>
      </c>
      <c r="AC5" s="531">
        <v>23.479999999999997</v>
      </c>
      <c r="AD5" s="551">
        <v>154.32999999999998</v>
      </c>
      <c r="AE5" s="552"/>
      <c r="AF5" s="510"/>
    </row>
    <row r="6" spans="1:32" s="59" customFormat="1" ht="15" customHeight="1" thickBot="1" x14ac:dyDescent="0.3">
      <c r="A6" s="533">
        <v>2</v>
      </c>
      <c r="B6" s="541" t="s">
        <v>3963</v>
      </c>
      <c r="C6" s="542"/>
      <c r="D6" s="531">
        <v>13.169</v>
      </c>
      <c r="E6" s="532">
        <v>4.3969999999999994</v>
      </c>
      <c r="F6" s="532">
        <v>8.7720000000000002</v>
      </c>
      <c r="G6" s="532">
        <v>0</v>
      </c>
      <c r="H6" s="532">
        <v>0</v>
      </c>
      <c r="I6" s="531">
        <v>16.87</v>
      </c>
      <c r="J6" s="532">
        <v>3.5599999999999996</v>
      </c>
      <c r="K6" s="532">
        <v>13.31</v>
      </c>
      <c r="L6" s="532">
        <v>0</v>
      </c>
      <c r="M6" s="532">
        <v>0</v>
      </c>
      <c r="N6" s="531">
        <v>37.300000000000004</v>
      </c>
      <c r="O6" s="532">
        <v>1.56</v>
      </c>
      <c r="P6" s="532">
        <v>35.74</v>
      </c>
      <c r="Q6" s="532">
        <v>0</v>
      </c>
      <c r="R6" s="532">
        <v>0</v>
      </c>
      <c r="S6" s="531">
        <v>0</v>
      </c>
      <c r="T6" s="532">
        <v>0</v>
      </c>
      <c r="U6" s="532">
        <v>0</v>
      </c>
      <c r="V6" s="532">
        <v>0</v>
      </c>
      <c r="W6" s="532">
        <v>0</v>
      </c>
      <c r="X6" s="531">
        <v>67.338999999999999</v>
      </c>
      <c r="Y6" s="532">
        <v>9.5169999999999995</v>
      </c>
      <c r="Z6" s="532">
        <v>57.822000000000003</v>
      </c>
      <c r="AA6" s="532">
        <v>0</v>
      </c>
      <c r="AB6" s="532">
        <v>0</v>
      </c>
      <c r="AC6" s="531">
        <v>36</v>
      </c>
      <c r="AD6" s="551">
        <v>270</v>
      </c>
      <c r="AE6" s="552"/>
      <c r="AF6" s="510"/>
    </row>
    <row r="7" spans="1:32" s="59" customFormat="1" ht="15" customHeight="1" thickBot="1" x14ac:dyDescent="0.3">
      <c r="A7" s="533">
        <v>3</v>
      </c>
      <c r="B7" s="541" t="s">
        <v>3964</v>
      </c>
      <c r="C7" s="542"/>
      <c r="D7" s="531">
        <v>38.797000000000004</v>
      </c>
      <c r="E7" s="532">
        <v>1.7340000000000002</v>
      </c>
      <c r="F7" s="532">
        <v>37.063000000000002</v>
      </c>
      <c r="G7" s="532">
        <v>0</v>
      </c>
      <c r="H7" s="532">
        <v>0</v>
      </c>
      <c r="I7" s="531">
        <v>21.934999999999999</v>
      </c>
      <c r="J7" s="532">
        <v>0.80400000000000005</v>
      </c>
      <c r="K7" s="532">
        <v>21.131</v>
      </c>
      <c r="L7" s="532">
        <v>0</v>
      </c>
      <c r="M7" s="532">
        <v>0</v>
      </c>
      <c r="N7" s="531">
        <v>8.793000000000001</v>
      </c>
      <c r="O7" s="532">
        <v>1.1040000000000001</v>
      </c>
      <c r="P7" s="532">
        <v>7.6890000000000009</v>
      </c>
      <c r="Q7" s="532">
        <v>0</v>
      </c>
      <c r="R7" s="532">
        <v>0</v>
      </c>
      <c r="S7" s="531">
        <v>0</v>
      </c>
      <c r="T7" s="532">
        <v>0</v>
      </c>
      <c r="U7" s="532">
        <v>0</v>
      </c>
      <c r="V7" s="532">
        <v>0</v>
      </c>
      <c r="W7" s="532">
        <v>0</v>
      </c>
      <c r="X7" s="531">
        <v>69.525000000000006</v>
      </c>
      <c r="Y7" s="532">
        <v>3.6420000000000003</v>
      </c>
      <c r="Z7" s="532">
        <v>65.88300000000001</v>
      </c>
      <c r="AA7" s="532">
        <v>0</v>
      </c>
      <c r="AB7" s="532">
        <v>0</v>
      </c>
      <c r="AC7" s="531">
        <v>20</v>
      </c>
      <c r="AD7" s="551">
        <v>126</v>
      </c>
      <c r="AE7" s="552"/>
      <c r="AF7" s="510"/>
    </row>
    <row r="8" spans="1:32" s="59" customFormat="1" ht="15" customHeight="1" thickBot="1" x14ac:dyDescent="0.3">
      <c r="A8" s="533">
        <v>4</v>
      </c>
      <c r="B8" s="541" t="s">
        <v>3965</v>
      </c>
      <c r="C8" s="542"/>
      <c r="D8" s="531">
        <v>4.5199999999999996</v>
      </c>
      <c r="E8" s="532">
        <v>0</v>
      </c>
      <c r="F8" s="532">
        <v>4.5199999999999996</v>
      </c>
      <c r="G8" s="532">
        <v>0</v>
      </c>
      <c r="H8" s="532">
        <v>0</v>
      </c>
      <c r="I8" s="531">
        <v>68.899999999999991</v>
      </c>
      <c r="J8" s="532">
        <v>2.36</v>
      </c>
      <c r="K8" s="532">
        <v>66.13</v>
      </c>
      <c r="L8" s="532">
        <v>0.41</v>
      </c>
      <c r="M8" s="532">
        <v>0</v>
      </c>
      <c r="N8" s="531">
        <v>61.64999999999997</v>
      </c>
      <c r="O8" s="532">
        <v>0.37</v>
      </c>
      <c r="P8" s="532">
        <v>60.949999999999974</v>
      </c>
      <c r="Q8" s="532">
        <v>0.33</v>
      </c>
      <c r="R8" s="532">
        <v>0</v>
      </c>
      <c r="S8" s="531">
        <v>0</v>
      </c>
      <c r="T8" s="532">
        <v>0</v>
      </c>
      <c r="U8" s="532">
        <v>0</v>
      </c>
      <c r="V8" s="532">
        <v>0</v>
      </c>
      <c r="W8" s="532">
        <v>0</v>
      </c>
      <c r="X8" s="531">
        <v>135.06999999999996</v>
      </c>
      <c r="Y8" s="532">
        <v>2.73</v>
      </c>
      <c r="Z8" s="532">
        <v>131.59999999999997</v>
      </c>
      <c r="AA8" s="532">
        <v>0.74</v>
      </c>
      <c r="AB8" s="532">
        <v>0</v>
      </c>
      <c r="AC8" s="531">
        <v>168.85</v>
      </c>
      <c r="AD8" s="551">
        <v>1153.6200000000001</v>
      </c>
      <c r="AE8" s="552"/>
      <c r="AF8" s="510"/>
    </row>
    <row r="9" spans="1:32" s="59" customFormat="1" ht="15" customHeight="1" thickBot="1" x14ac:dyDescent="0.3">
      <c r="A9" s="533">
        <v>5</v>
      </c>
      <c r="B9" s="541" t="s">
        <v>3966</v>
      </c>
      <c r="C9" s="542"/>
      <c r="D9" s="538">
        <v>0</v>
      </c>
      <c r="E9" s="539">
        <v>0</v>
      </c>
      <c r="F9" s="539">
        <v>0</v>
      </c>
      <c r="G9" s="539">
        <v>0</v>
      </c>
      <c r="H9" s="539">
        <v>0</v>
      </c>
      <c r="I9" s="538">
        <v>0</v>
      </c>
      <c r="J9" s="539">
        <v>0</v>
      </c>
      <c r="K9" s="539">
        <v>0</v>
      </c>
      <c r="L9" s="539">
        <v>0</v>
      </c>
      <c r="M9" s="539">
        <v>0</v>
      </c>
      <c r="N9" s="538">
        <v>0</v>
      </c>
      <c r="O9" s="539">
        <v>0</v>
      </c>
      <c r="P9" s="539">
        <v>0</v>
      </c>
      <c r="Q9" s="539">
        <v>0</v>
      </c>
      <c r="R9" s="539">
        <v>0</v>
      </c>
      <c r="S9" s="538">
        <v>22.75</v>
      </c>
      <c r="T9" s="539">
        <v>11.924000000000001</v>
      </c>
      <c r="U9" s="539">
        <v>10.826000000000001</v>
      </c>
      <c r="V9" s="539">
        <v>0</v>
      </c>
      <c r="W9" s="539">
        <v>0</v>
      </c>
      <c r="X9" s="538">
        <v>22.75</v>
      </c>
      <c r="Y9" s="539">
        <v>11.924000000000001</v>
      </c>
      <c r="Z9" s="539">
        <v>10.826000000000001</v>
      </c>
      <c r="AA9" s="539">
        <v>0</v>
      </c>
      <c r="AB9" s="539">
        <v>0</v>
      </c>
      <c r="AC9" s="538">
        <v>18</v>
      </c>
      <c r="AD9" s="581">
        <v>126</v>
      </c>
      <c r="AE9" s="582"/>
      <c r="AF9" s="510"/>
    </row>
    <row r="10" spans="1:32" s="59" customFormat="1" ht="15" customHeight="1" thickBot="1" x14ac:dyDescent="0.3">
      <c r="A10" s="533">
        <v>6</v>
      </c>
      <c r="B10" s="541" t="s">
        <v>3967</v>
      </c>
      <c r="C10" s="542"/>
      <c r="D10" s="531">
        <v>15.954000000000001</v>
      </c>
      <c r="E10" s="532">
        <v>1.3360000000000001</v>
      </c>
      <c r="F10" s="532">
        <v>14.618</v>
      </c>
      <c r="G10" s="532">
        <v>0</v>
      </c>
      <c r="H10" s="532">
        <v>0</v>
      </c>
      <c r="I10" s="531">
        <v>38.96</v>
      </c>
      <c r="J10" s="532">
        <v>0</v>
      </c>
      <c r="K10" s="532">
        <v>38.96</v>
      </c>
      <c r="L10" s="532">
        <v>0</v>
      </c>
      <c r="M10" s="532">
        <v>0</v>
      </c>
      <c r="N10" s="531">
        <v>10.512999999999998</v>
      </c>
      <c r="O10" s="532">
        <v>0.23</v>
      </c>
      <c r="P10" s="532">
        <v>10.282999999999998</v>
      </c>
      <c r="Q10" s="532">
        <v>0</v>
      </c>
      <c r="R10" s="532">
        <v>0</v>
      </c>
      <c r="S10" s="531">
        <v>0</v>
      </c>
      <c r="T10" s="532">
        <v>0</v>
      </c>
      <c r="U10" s="532">
        <v>0</v>
      </c>
      <c r="V10" s="532">
        <v>0</v>
      </c>
      <c r="W10" s="532">
        <v>0</v>
      </c>
      <c r="X10" s="531">
        <v>65.426999999999992</v>
      </c>
      <c r="Y10" s="532">
        <v>1.5660000000000001</v>
      </c>
      <c r="Z10" s="532">
        <v>63.861000000000004</v>
      </c>
      <c r="AA10" s="532">
        <v>0</v>
      </c>
      <c r="AB10" s="532">
        <v>0</v>
      </c>
      <c r="AC10" s="531">
        <v>54.300000000000004</v>
      </c>
      <c r="AD10" s="551">
        <v>143.76</v>
      </c>
      <c r="AE10" s="552"/>
      <c r="AF10" s="510"/>
    </row>
    <row r="11" spans="1:32" s="59" customFormat="1" ht="15" customHeight="1" thickBot="1" x14ac:dyDescent="0.3">
      <c r="A11" s="533">
        <v>7</v>
      </c>
      <c r="B11" s="541" t="s">
        <v>3968</v>
      </c>
      <c r="C11" s="542"/>
      <c r="D11" s="531">
        <v>27.04</v>
      </c>
      <c r="E11" s="532">
        <v>8.6</v>
      </c>
      <c r="F11" s="532">
        <v>18.440000000000001</v>
      </c>
      <c r="G11" s="532">
        <v>0</v>
      </c>
      <c r="H11" s="532">
        <v>0</v>
      </c>
      <c r="I11" s="531">
        <v>39.64</v>
      </c>
      <c r="J11" s="532">
        <v>3.0200000000000005</v>
      </c>
      <c r="K11" s="532">
        <v>36.619999999999997</v>
      </c>
      <c r="L11" s="532">
        <v>0</v>
      </c>
      <c r="M11" s="532">
        <v>0</v>
      </c>
      <c r="N11" s="531">
        <v>17.41</v>
      </c>
      <c r="O11" s="532">
        <v>0</v>
      </c>
      <c r="P11" s="532">
        <v>17.41</v>
      </c>
      <c r="Q11" s="532">
        <v>0</v>
      </c>
      <c r="R11" s="532">
        <v>0</v>
      </c>
      <c r="S11" s="531">
        <v>0</v>
      </c>
      <c r="T11" s="532">
        <v>0</v>
      </c>
      <c r="U11" s="532">
        <v>0</v>
      </c>
      <c r="V11" s="532">
        <v>0</v>
      </c>
      <c r="W11" s="532">
        <v>0</v>
      </c>
      <c r="X11" s="531">
        <v>84.09</v>
      </c>
      <c r="Y11" s="532">
        <v>11.620000000000001</v>
      </c>
      <c r="Z11" s="532">
        <v>72.47</v>
      </c>
      <c r="AA11" s="532">
        <v>0</v>
      </c>
      <c r="AB11" s="532">
        <v>0</v>
      </c>
      <c r="AC11" s="531">
        <v>12</v>
      </c>
      <c r="AD11" s="551">
        <v>90</v>
      </c>
      <c r="AE11" s="552"/>
      <c r="AF11" s="510"/>
    </row>
    <row r="12" spans="1:32" s="59" customFormat="1" ht="15" customHeight="1" thickBot="1" x14ac:dyDescent="0.3">
      <c r="A12" s="533">
        <v>8</v>
      </c>
      <c r="B12" s="541" t="s">
        <v>3969</v>
      </c>
      <c r="C12" s="542"/>
      <c r="D12" s="531">
        <v>30.19</v>
      </c>
      <c r="E12" s="532">
        <v>0.73000000000000009</v>
      </c>
      <c r="F12" s="532">
        <v>29.46</v>
      </c>
      <c r="G12" s="532">
        <v>0</v>
      </c>
      <c r="H12" s="532">
        <v>0</v>
      </c>
      <c r="I12" s="531">
        <v>40.540000000000013</v>
      </c>
      <c r="J12" s="532">
        <v>0.84</v>
      </c>
      <c r="K12" s="532">
        <v>39.70000000000001</v>
      </c>
      <c r="L12" s="532">
        <v>0</v>
      </c>
      <c r="M12" s="532">
        <v>0</v>
      </c>
      <c r="N12" s="531">
        <v>1.46</v>
      </c>
      <c r="O12" s="532">
        <v>0</v>
      </c>
      <c r="P12" s="532">
        <v>1.46</v>
      </c>
      <c r="Q12" s="532">
        <v>0</v>
      </c>
      <c r="R12" s="532">
        <v>0</v>
      </c>
      <c r="S12" s="531">
        <v>0</v>
      </c>
      <c r="T12" s="532">
        <v>0</v>
      </c>
      <c r="U12" s="532">
        <v>0</v>
      </c>
      <c r="V12" s="532">
        <v>0</v>
      </c>
      <c r="W12" s="532">
        <v>0</v>
      </c>
      <c r="X12" s="531">
        <v>72.190000000000012</v>
      </c>
      <c r="Y12" s="532">
        <v>1.57</v>
      </c>
      <c r="Z12" s="532">
        <v>70.62</v>
      </c>
      <c r="AA12" s="532">
        <v>0</v>
      </c>
      <c r="AB12" s="532">
        <v>0</v>
      </c>
      <c r="AC12" s="531">
        <v>24</v>
      </c>
      <c r="AD12" s="551">
        <v>186</v>
      </c>
      <c r="AE12" s="552"/>
      <c r="AF12" s="510"/>
    </row>
    <row r="13" spans="1:32" s="59" customFormat="1" ht="15" customHeight="1" thickBot="1" x14ac:dyDescent="0.3">
      <c r="A13" s="533">
        <v>9</v>
      </c>
      <c r="B13" s="541" t="s">
        <v>3971</v>
      </c>
      <c r="C13" s="542"/>
      <c r="D13" s="531">
        <v>53.53</v>
      </c>
      <c r="E13" s="532">
        <v>5.94</v>
      </c>
      <c r="F13" s="532">
        <v>47.59</v>
      </c>
      <c r="G13" s="532">
        <v>0</v>
      </c>
      <c r="H13" s="532">
        <v>0</v>
      </c>
      <c r="I13" s="531">
        <v>32.433000000000007</v>
      </c>
      <c r="J13" s="532">
        <v>1.8220000000000001</v>
      </c>
      <c r="K13" s="532">
        <v>30.611000000000004</v>
      </c>
      <c r="L13" s="532">
        <v>0</v>
      </c>
      <c r="M13" s="532">
        <v>0</v>
      </c>
      <c r="N13" s="531">
        <v>3.9299999999999997</v>
      </c>
      <c r="O13" s="532">
        <v>0</v>
      </c>
      <c r="P13" s="532">
        <v>3.9299999999999997</v>
      </c>
      <c r="Q13" s="532">
        <v>0</v>
      </c>
      <c r="R13" s="532">
        <v>0</v>
      </c>
      <c r="S13" s="531">
        <v>0</v>
      </c>
      <c r="T13" s="532">
        <v>0</v>
      </c>
      <c r="U13" s="532">
        <v>0</v>
      </c>
      <c r="V13" s="532">
        <v>0</v>
      </c>
      <c r="W13" s="532">
        <v>0</v>
      </c>
      <c r="X13" s="531">
        <v>89.893000000000001</v>
      </c>
      <c r="Y13" s="532">
        <v>7.7620000000000005</v>
      </c>
      <c r="Z13" s="532">
        <v>82.131</v>
      </c>
      <c r="AA13" s="532">
        <v>0</v>
      </c>
      <c r="AB13" s="532">
        <v>0</v>
      </c>
      <c r="AC13" s="531">
        <v>159</v>
      </c>
      <c r="AD13" s="551">
        <v>1069.8900000000001</v>
      </c>
      <c r="AE13" s="552"/>
      <c r="AF13" s="510"/>
    </row>
    <row r="14" spans="1:32" s="59" customFormat="1" ht="15" customHeight="1" thickBot="1" x14ac:dyDescent="0.3">
      <c r="A14" s="533">
        <v>10</v>
      </c>
      <c r="B14" s="541" t="s">
        <v>3970</v>
      </c>
      <c r="C14" s="542"/>
      <c r="D14" s="531">
        <v>7.42</v>
      </c>
      <c r="E14" s="532">
        <v>0.96</v>
      </c>
      <c r="F14" s="532">
        <v>6.46</v>
      </c>
      <c r="G14" s="532">
        <v>0</v>
      </c>
      <c r="H14" s="532">
        <v>0</v>
      </c>
      <c r="I14" s="531">
        <v>23.74</v>
      </c>
      <c r="J14" s="532">
        <v>1.06</v>
      </c>
      <c r="K14" s="532">
        <v>22.68</v>
      </c>
      <c r="L14" s="532">
        <v>0</v>
      </c>
      <c r="M14" s="532">
        <v>0</v>
      </c>
      <c r="N14" s="531">
        <v>1.4</v>
      </c>
      <c r="O14" s="532">
        <v>0</v>
      </c>
      <c r="P14" s="532">
        <v>1.4</v>
      </c>
      <c r="Q14" s="532">
        <v>0</v>
      </c>
      <c r="R14" s="532">
        <v>0</v>
      </c>
      <c r="S14" s="531">
        <v>0</v>
      </c>
      <c r="T14" s="532">
        <v>0</v>
      </c>
      <c r="U14" s="532">
        <v>0</v>
      </c>
      <c r="V14" s="532">
        <v>0</v>
      </c>
      <c r="W14" s="532">
        <v>0</v>
      </c>
      <c r="X14" s="531">
        <v>32.559999999999995</v>
      </c>
      <c r="Y14" s="532">
        <v>2.02</v>
      </c>
      <c r="Z14" s="532">
        <v>30.54</v>
      </c>
      <c r="AA14" s="532">
        <v>0</v>
      </c>
      <c r="AB14" s="532">
        <v>0</v>
      </c>
      <c r="AC14" s="531">
        <v>18.100000000000001</v>
      </c>
      <c r="AD14" s="551">
        <v>161</v>
      </c>
      <c r="AE14" s="552"/>
      <c r="AF14" s="510"/>
    </row>
    <row r="15" spans="1:32" s="59" customFormat="1" ht="15" customHeight="1" thickBot="1" x14ac:dyDescent="0.3">
      <c r="A15" s="533">
        <v>11</v>
      </c>
      <c r="B15" s="541" t="s">
        <v>3972</v>
      </c>
      <c r="C15" s="542"/>
      <c r="D15" s="531">
        <v>19.46</v>
      </c>
      <c r="E15" s="532">
        <v>2.5299999999999998</v>
      </c>
      <c r="F15" s="532">
        <v>16.93</v>
      </c>
      <c r="G15" s="532">
        <v>0</v>
      </c>
      <c r="H15" s="532">
        <v>0</v>
      </c>
      <c r="I15" s="531">
        <v>63.682000000000002</v>
      </c>
      <c r="J15" s="532">
        <v>1.911</v>
      </c>
      <c r="K15" s="532">
        <v>61.771000000000001</v>
      </c>
      <c r="L15" s="532">
        <v>0</v>
      </c>
      <c r="M15" s="532">
        <v>0</v>
      </c>
      <c r="N15" s="531">
        <v>1.7849999999999999</v>
      </c>
      <c r="O15" s="532">
        <v>0</v>
      </c>
      <c r="P15" s="532">
        <v>1.7849999999999999</v>
      </c>
      <c r="Q15" s="532">
        <v>0</v>
      </c>
      <c r="R15" s="532">
        <v>0</v>
      </c>
      <c r="S15" s="531">
        <v>0</v>
      </c>
      <c r="T15" s="532">
        <v>0</v>
      </c>
      <c r="U15" s="532">
        <v>0</v>
      </c>
      <c r="V15" s="532">
        <v>0</v>
      </c>
      <c r="W15" s="532">
        <v>0</v>
      </c>
      <c r="X15" s="531">
        <v>84.926999999999992</v>
      </c>
      <c r="Y15" s="532">
        <v>4.4409999999999998</v>
      </c>
      <c r="Z15" s="532">
        <v>80.48599999999999</v>
      </c>
      <c r="AA15" s="532">
        <v>0</v>
      </c>
      <c r="AB15" s="532">
        <v>0</v>
      </c>
      <c r="AC15" s="531">
        <v>14</v>
      </c>
      <c r="AD15" s="551">
        <v>84</v>
      </c>
      <c r="AE15" s="552"/>
      <c r="AF15" s="510"/>
    </row>
    <row r="16" spans="1:32" s="59" customFormat="1" ht="15" customHeight="1" thickBot="1" x14ac:dyDescent="0.3">
      <c r="A16" s="533">
        <v>12</v>
      </c>
      <c r="B16" s="541" t="s">
        <v>3973</v>
      </c>
      <c r="C16" s="542"/>
      <c r="D16" s="531">
        <v>4.6500000000000004</v>
      </c>
      <c r="E16" s="532">
        <v>4.29</v>
      </c>
      <c r="F16" s="532">
        <v>0.36000000000000004</v>
      </c>
      <c r="G16" s="532">
        <v>0</v>
      </c>
      <c r="H16" s="532">
        <v>0</v>
      </c>
      <c r="I16" s="531">
        <v>9.2100000000000009</v>
      </c>
      <c r="J16" s="532">
        <v>2.4500000000000002</v>
      </c>
      <c r="K16" s="532">
        <v>6.76</v>
      </c>
      <c r="L16" s="532">
        <v>0</v>
      </c>
      <c r="M16" s="532">
        <v>0</v>
      </c>
      <c r="N16" s="531">
        <v>1.25</v>
      </c>
      <c r="O16" s="532">
        <v>0.22</v>
      </c>
      <c r="P16" s="532">
        <v>1.03</v>
      </c>
      <c r="Q16" s="532">
        <v>0</v>
      </c>
      <c r="R16" s="532">
        <v>0</v>
      </c>
      <c r="S16" s="531">
        <v>0</v>
      </c>
      <c r="T16" s="532">
        <v>0</v>
      </c>
      <c r="U16" s="532">
        <v>0</v>
      </c>
      <c r="V16" s="532">
        <v>0</v>
      </c>
      <c r="W16" s="532">
        <v>0</v>
      </c>
      <c r="X16" s="531">
        <v>15.110000000000001</v>
      </c>
      <c r="Y16" s="532">
        <v>6.96</v>
      </c>
      <c r="Z16" s="532">
        <v>8.15</v>
      </c>
      <c r="AA16" s="532">
        <v>0</v>
      </c>
      <c r="AB16" s="532">
        <v>0</v>
      </c>
      <c r="AC16" s="531">
        <v>0</v>
      </c>
      <c r="AD16" s="551">
        <v>0</v>
      </c>
      <c r="AE16" s="552"/>
      <c r="AF16" s="510"/>
    </row>
    <row r="17" spans="1:32" s="59" customFormat="1" ht="15" customHeight="1" thickBot="1" x14ac:dyDescent="0.3">
      <c r="A17" s="533">
        <v>13</v>
      </c>
      <c r="B17" s="541" t="s">
        <v>3974</v>
      </c>
      <c r="C17" s="542"/>
      <c r="D17" s="531">
        <v>12.39</v>
      </c>
      <c r="E17" s="532">
        <v>2.4699999999999998</v>
      </c>
      <c r="F17" s="532">
        <v>9.92</v>
      </c>
      <c r="G17" s="532">
        <v>0</v>
      </c>
      <c r="H17" s="532">
        <v>0</v>
      </c>
      <c r="I17" s="531">
        <v>67.275999999999996</v>
      </c>
      <c r="J17" s="532">
        <v>1.343</v>
      </c>
      <c r="K17" s="532">
        <v>65.932999999999993</v>
      </c>
      <c r="L17" s="532">
        <v>0</v>
      </c>
      <c r="M17" s="532">
        <v>0</v>
      </c>
      <c r="N17" s="531">
        <v>5.4569999999999999</v>
      </c>
      <c r="O17" s="532">
        <v>0</v>
      </c>
      <c r="P17" s="532">
        <v>5.4569999999999999</v>
      </c>
      <c r="Q17" s="532">
        <v>0</v>
      </c>
      <c r="R17" s="532">
        <v>0</v>
      </c>
      <c r="S17" s="531">
        <v>0</v>
      </c>
      <c r="T17" s="532">
        <v>0</v>
      </c>
      <c r="U17" s="532">
        <v>0</v>
      </c>
      <c r="V17" s="532">
        <v>0</v>
      </c>
      <c r="W17" s="532">
        <v>0</v>
      </c>
      <c r="X17" s="531">
        <v>85.12299999999999</v>
      </c>
      <c r="Y17" s="532">
        <v>3.8129999999999997</v>
      </c>
      <c r="Z17" s="532">
        <v>81.309999999999988</v>
      </c>
      <c r="AA17" s="532">
        <v>0</v>
      </c>
      <c r="AB17" s="532">
        <v>0</v>
      </c>
      <c r="AC17" s="531">
        <v>0</v>
      </c>
      <c r="AD17" s="551">
        <v>0</v>
      </c>
      <c r="AE17" s="552"/>
      <c r="AF17" s="510"/>
    </row>
    <row r="18" spans="1:32" s="59" customFormat="1" ht="15" customHeight="1" thickBot="1" x14ac:dyDescent="0.3">
      <c r="A18" s="533">
        <v>14</v>
      </c>
      <c r="B18" s="541" t="s">
        <v>3975</v>
      </c>
      <c r="C18" s="542"/>
      <c r="D18" s="538">
        <v>0</v>
      </c>
      <c r="E18" s="539">
        <v>0</v>
      </c>
      <c r="F18" s="539">
        <v>0</v>
      </c>
      <c r="G18" s="539">
        <v>0</v>
      </c>
      <c r="H18" s="539">
        <v>0</v>
      </c>
      <c r="I18" s="538">
        <v>0</v>
      </c>
      <c r="J18" s="539">
        <v>0</v>
      </c>
      <c r="K18" s="539">
        <v>0</v>
      </c>
      <c r="L18" s="539">
        <v>0</v>
      </c>
      <c r="M18" s="539">
        <v>0</v>
      </c>
      <c r="N18" s="538">
        <v>0</v>
      </c>
      <c r="O18" s="539">
        <v>0</v>
      </c>
      <c r="P18" s="539">
        <v>0</v>
      </c>
      <c r="Q18" s="539">
        <v>0</v>
      </c>
      <c r="R18" s="539">
        <v>0</v>
      </c>
      <c r="S18" s="538">
        <v>20.070999999999998</v>
      </c>
      <c r="T18" s="539">
        <v>13.823999999999998</v>
      </c>
      <c r="U18" s="539">
        <v>6.2470000000000008</v>
      </c>
      <c r="V18" s="539">
        <v>0</v>
      </c>
      <c r="W18" s="539">
        <v>0</v>
      </c>
      <c r="X18" s="538">
        <v>20.07</v>
      </c>
      <c r="Y18" s="539">
        <v>13.82</v>
      </c>
      <c r="Z18" s="539">
        <v>6.25</v>
      </c>
      <c r="AA18" s="539">
        <v>0</v>
      </c>
      <c r="AB18" s="539">
        <v>0</v>
      </c>
      <c r="AC18" s="538">
        <v>97</v>
      </c>
      <c r="AD18" s="581">
        <v>1083</v>
      </c>
      <c r="AE18" s="582"/>
      <c r="AF18" s="510"/>
    </row>
    <row r="19" spans="1:32" s="59" customFormat="1" ht="15" customHeight="1" thickBot="1" x14ac:dyDescent="0.3">
      <c r="A19" s="533">
        <v>15</v>
      </c>
      <c r="B19" s="541" t="s">
        <v>3976</v>
      </c>
      <c r="C19" s="542"/>
      <c r="D19" s="538">
        <v>0</v>
      </c>
      <c r="E19" s="539">
        <v>0</v>
      </c>
      <c r="F19" s="539">
        <v>0</v>
      </c>
      <c r="G19" s="539">
        <v>0</v>
      </c>
      <c r="H19" s="539">
        <v>0</v>
      </c>
      <c r="I19" s="538">
        <v>0</v>
      </c>
      <c r="J19" s="539">
        <v>0</v>
      </c>
      <c r="K19" s="539">
        <v>0</v>
      </c>
      <c r="L19" s="539">
        <v>0</v>
      </c>
      <c r="M19" s="539">
        <v>0</v>
      </c>
      <c r="N19" s="538">
        <v>0</v>
      </c>
      <c r="O19" s="539">
        <v>0</v>
      </c>
      <c r="P19" s="539">
        <v>0</v>
      </c>
      <c r="Q19" s="539">
        <v>0</v>
      </c>
      <c r="R19" s="539">
        <v>0</v>
      </c>
      <c r="S19" s="538">
        <v>55.002000000000031</v>
      </c>
      <c r="T19" s="539">
        <v>48.099000000000032</v>
      </c>
      <c r="U19" s="539">
        <v>6.9030000000000005</v>
      </c>
      <c r="V19" s="539">
        <v>0</v>
      </c>
      <c r="W19" s="539">
        <v>0</v>
      </c>
      <c r="X19" s="538">
        <v>55.002000000000031</v>
      </c>
      <c r="Y19" s="539">
        <v>48.099000000000032</v>
      </c>
      <c r="Z19" s="539">
        <v>6.9030000000000005</v>
      </c>
      <c r="AA19" s="539">
        <v>0</v>
      </c>
      <c r="AB19" s="539">
        <v>0</v>
      </c>
      <c r="AC19" s="538">
        <v>9</v>
      </c>
      <c r="AD19" s="581">
        <v>72</v>
      </c>
      <c r="AE19" s="582"/>
      <c r="AF19" s="510"/>
    </row>
    <row r="20" spans="1:32" s="59" customFormat="1" ht="15" customHeight="1" thickBot="1" x14ac:dyDescent="0.3">
      <c r="A20" s="533">
        <v>16</v>
      </c>
      <c r="B20" s="541" t="s">
        <v>3977</v>
      </c>
      <c r="C20" s="542"/>
      <c r="D20" s="531">
        <v>19.502000000000002</v>
      </c>
      <c r="E20" s="532">
        <v>1.3900000000000001</v>
      </c>
      <c r="F20" s="532">
        <v>16.794</v>
      </c>
      <c r="G20" s="532">
        <v>1.3180000000000001</v>
      </c>
      <c r="H20" s="532">
        <v>0</v>
      </c>
      <c r="I20" s="531">
        <v>26.948999999999998</v>
      </c>
      <c r="J20" s="532">
        <v>0</v>
      </c>
      <c r="K20" s="532">
        <v>24.779</v>
      </c>
      <c r="L20" s="532">
        <v>2.17</v>
      </c>
      <c r="M20" s="532">
        <v>0</v>
      </c>
      <c r="N20" s="531">
        <v>9.6030000000000015</v>
      </c>
      <c r="O20" s="532">
        <v>0</v>
      </c>
      <c r="P20" s="532">
        <v>8.1530000000000005</v>
      </c>
      <c r="Q20" s="532">
        <v>1.4500000000000002</v>
      </c>
      <c r="R20" s="532">
        <v>0</v>
      </c>
      <c r="S20" s="531">
        <v>0</v>
      </c>
      <c r="T20" s="532">
        <v>0</v>
      </c>
      <c r="U20" s="532">
        <v>0</v>
      </c>
      <c r="V20" s="532">
        <v>0</v>
      </c>
      <c r="W20" s="532">
        <v>0</v>
      </c>
      <c r="X20" s="531">
        <v>56.054000000000002</v>
      </c>
      <c r="Y20" s="532">
        <v>1.3900000000000001</v>
      </c>
      <c r="Z20" s="532">
        <v>49.725999999999999</v>
      </c>
      <c r="AA20" s="532">
        <v>4.9380000000000006</v>
      </c>
      <c r="AB20" s="532">
        <v>0</v>
      </c>
      <c r="AC20" s="531">
        <v>36.5</v>
      </c>
      <c r="AD20" s="551">
        <v>321.2</v>
      </c>
      <c r="AE20" s="552"/>
      <c r="AF20" s="510"/>
    </row>
    <row r="21" spans="1:32" s="59" customFormat="1" ht="15" customHeight="1" thickBot="1" x14ac:dyDescent="0.3">
      <c r="A21" s="533">
        <v>17</v>
      </c>
      <c r="B21" s="541" t="s">
        <v>3978</v>
      </c>
      <c r="C21" s="542"/>
      <c r="D21" s="531">
        <v>19.57</v>
      </c>
      <c r="E21" s="532">
        <v>10.28</v>
      </c>
      <c r="F21" s="532">
        <v>9.2900000000000009</v>
      </c>
      <c r="G21" s="532">
        <v>0</v>
      </c>
      <c r="H21" s="532">
        <v>0</v>
      </c>
      <c r="I21" s="531">
        <v>39.229999999999997</v>
      </c>
      <c r="J21" s="532">
        <v>11.799999999999999</v>
      </c>
      <c r="K21" s="532">
        <v>27.43</v>
      </c>
      <c r="L21" s="532">
        <v>0</v>
      </c>
      <c r="M21" s="532">
        <v>0</v>
      </c>
      <c r="N21" s="531">
        <v>7.7299999999999995</v>
      </c>
      <c r="O21" s="532">
        <v>0</v>
      </c>
      <c r="P21" s="532">
        <v>7.7299999999999995</v>
      </c>
      <c r="Q21" s="532">
        <v>0</v>
      </c>
      <c r="R21" s="532">
        <v>0</v>
      </c>
      <c r="S21" s="531">
        <v>0</v>
      </c>
      <c r="T21" s="532">
        <v>0</v>
      </c>
      <c r="U21" s="532">
        <v>0</v>
      </c>
      <c r="V21" s="532">
        <v>0</v>
      </c>
      <c r="W21" s="532">
        <v>0</v>
      </c>
      <c r="X21" s="531">
        <v>66.53</v>
      </c>
      <c r="Y21" s="532">
        <v>22.08</v>
      </c>
      <c r="Z21" s="532">
        <v>44.449999999999996</v>
      </c>
      <c r="AA21" s="532">
        <v>0</v>
      </c>
      <c r="AB21" s="532">
        <v>0</v>
      </c>
      <c r="AC21" s="531">
        <v>0</v>
      </c>
      <c r="AD21" s="551">
        <v>0</v>
      </c>
      <c r="AE21" s="552"/>
      <c r="AF21" s="510"/>
    </row>
    <row r="22" spans="1:32" s="59" customFormat="1" ht="15" customHeight="1" thickBot="1" x14ac:dyDescent="0.3">
      <c r="A22" s="533">
        <v>18</v>
      </c>
      <c r="B22" s="541" t="s">
        <v>3646</v>
      </c>
      <c r="C22" s="542"/>
      <c r="D22" s="531">
        <v>39.534999999999997</v>
      </c>
      <c r="E22" s="532">
        <v>9.9730000000000008</v>
      </c>
      <c r="F22" s="532">
        <v>29.561999999999998</v>
      </c>
      <c r="G22" s="532">
        <v>0</v>
      </c>
      <c r="H22" s="532">
        <v>0</v>
      </c>
      <c r="I22" s="531">
        <v>16.82</v>
      </c>
      <c r="J22" s="532">
        <v>1.621</v>
      </c>
      <c r="K22" s="532">
        <v>15.199000000000002</v>
      </c>
      <c r="L22" s="532">
        <v>0</v>
      </c>
      <c r="M22" s="532">
        <v>0</v>
      </c>
      <c r="N22" s="531">
        <v>12.466000000000001</v>
      </c>
      <c r="O22" s="532">
        <v>0</v>
      </c>
      <c r="P22" s="532">
        <v>12.044</v>
      </c>
      <c r="Q22" s="532">
        <v>0.42200000000000004</v>
      </c>
      <c r="R22" s="532">
        <v>0</v>
      </c>
      <c r="S22" s="531">
        <v>0</v>
      </c>
      <c r="T22" s="532">
        <v>0</v>
      </c>
      <c r="U22" s="532">
        <v>0</v>
      </c>
      <c r="V22" s="532">
        <v>0</v>
      </c>
      <c r="W22" s="532">
        <v>0</v>
      </c>
      <c r="X22" s="531">
        <v>68.820999999999998</v>
      </c>
      <c r="Y22" s="532">
        <v>11.594000000000001</v>
      </c>
      <c r="Z22" s="532">
        <v>56.804999999999993</v>
      </c>
      <c r="AA22" s="532">
        <v>12.044</v>
      </c>
      <c r="AB22" s="532">
        <v>0</v>
      </c>
      <c r="AC22" s="531">
        <v>12.2</v>
      </c>
      <c r="AD22" s="551">
        <v>85.4</v>
      </c>
      <c r="AE22" s="552"/>
      <c r="AF22" s="510"/>
    </row>
    <row r="23" spans="1:32" s="59" customFormat="1" ht="15" customHeight="1" thickBot="1" x14ac:dyDescent="0.3">
      <c r="A23" s="533">
        <v>19</v>
      </c>
      <c r="B23" s="541" t="s">
        <v>3979</v>
      </c>
      <c r="C23" s="542"/>
      <c r="D23" s="531">
        <v>9.24</v>
      </c>
      <c r="E23" s="532">
        <v>1.65</v>
      </c>
      <c r="F23" s="532">
        <v>7.59</v>
      </c>
      <c r="G23" s="532">
        <v>0</v>
      </c>
      <c r="H23" s="532">
        <v>0</v>
      </c>
      <c r="I23" s="531">
        <v>40.295000000000002</v>
      </c>
      <c r="J23" s="532">
        <v>0</v>
      </c>
      <c r="K23" s="532">
        <v>40.295000000000002</v>
      </c>
      <c r="L23" s="532">
        <v>0</v>
      </c>
      <c r="M23" s="532">
        <v>0</v>
      </c>
      <c r="N23" s="531">
        <v>30.869999999999994</v>
      </c>
      <c r="O23" s="532">
        <v>1.4380000000000002</v>
      </c>
      <c r="P23" s="532">
        <v>29.431999999999995</v>
      </c>
      <c r="Q23" s="532">
        <v>0</v>
      </c>
      <c r="R23" s="532">
        <v>0</v>
      </c>
      <c r="S23" s="531">
        <v>0</v>
      </c>
      <c r="T23" s="532">
        <v>0</v>
      </c>
      <c r="U23" s="532">
        <v>0</v>
      </c>
      <c r="V23" s="532">
        <v>0</v>
      </c>
      <c r="W23" s="532">
        <v>0</v>
      </c>
      <c r="X23" s="531">
        <v>80.405000000000001</v>
      </c>
      <c r="Y23" s="532">
        <v>3.0880000000000001</v>
      </c>
      <c r="Z23" s="532">
        <v>77.317000000000007</v>
      </c>
      <c r="AA23" s="532">
        <v>0</v>
      </c>
      <c r="AB23" s="532">
        <v>0</v>
      </c>
      <c r="AC23" s="531">
        <v>0</v>
      </c>
      <c r="AD23" s="551">
        <v>0</v>
      </c>
      <c r="AE23" s="552"/>
      <c r="AF23" s="510"/>
    </row>
    <row r="24" spans="1:32" s="59" customFormat="1" ht="15" customHeight="1" thickBot="1" x14ac:dyDescent="0.3">
      <c r="A24" s="533">
        <v>20</v>
      </c>
      <c r="B24" s="541" t="s">
        <v>3980</v>
      </c>
      <c r="C24" s="542"/>
      <c r="D24" s="531">
        <v>14.450000000000001</v>
      </c>
      <c r="E24" s="532">
        <v>3.01</v>
      </c>
      <c r="F24" s="532">
        <v>11.440000000000001</v>
      </c>
      <c r="G24" s="532">
        <v>0</v>
      </c>
      <c r="H24" s="532">
        <v>0</v>
      </c>
      <c r="I24" s="531">
        <v>69.356999999999985</v>
      </c>
      <c r="J24" s="532">
        <v>0.11</v>
      </c>
      <c r="K24" s="532">
        <v>69.246999999999986</v>
      </c>
      <c r="L24" s="532">
        <v>0</v>
      </c>
      <c r="M24" s="532">
        <v>0</v>
      </c>
      <c r="N24" s="531">
        <v>1.26</v>
      </c>
      <c r="O24" s="532">
        <v>0</v>
      </c>
      <c r="P24" s="532">
        <v>1.26</v>
      </c>
      <c r="Q24" s="532">
        <v>0</v>
      </c>
      <c r="R24" s="532">
        <v>0</v>
      </c>
      <c r="S24" s="531">
        <v>0</v>
      </c>
      <c r="T24" s="532">
        <v>0</v>
      </c>
      <c r="U24" s="532">
        <v>0</v>
      </c>
      <c r="V24" s="532">
        <v>0</v>
      </c>
      <c r="W24" s="532">
        <v>0</v>
      </c>
      <c r="X24" s="531">
        <v>85.066999999999993</v>
      </c>
      <c r="Y24" s="532">
        <v>3.1199999999999997</v>
      </c>
      <c r="Z24" s="532">
        <v>81.946999999999989</v>
      </c>
      <c r="AA24" s="532">
        <v>0</v>
      </c>
      <c r="AB24" s="532">
        <v>0</v>
      </c>
      <c r="AC24" s="531">
        <v>44</v>
      </c>
      <c r="AD24" s="551">
        <v>368.5</v>
      </c>
      <c r="AE24" s="552"/>
      <c r="AF24" s="510"/>
    </row>
    <row r="25" spans="1:32" s="59" customFormat="1" ht="15" customHeight="1" thickBot="1" x14ac:dyDescent="0.3">
      <c r="A25" s="533">
        <v>21</v>
      </c>
      <c r="B25" s="541" t="s">
        <v>3981</v>
      </c>
      <c r="C25" s="542"/>
      <c r="D25" s="531">
        <v>16.916999999999998</v>
      </c>
      <c r="E25" s="532">
        <v>1.6749999999999998</v>
      </c>
      <c r="F25" s="532">
        <v>15.241999999999999</v>
      </c>
      <c r="G25" s="532">
        <v>0</v>
      </c>
      <c r="H25" s="532">
        <v>0</v>
      </c>
      <c r="I25" s="531">
        <v>64.262</v>
      </c>
      <c r="J25" s="532">
        <v>0.42</v>
      </c>
      <c r="K25" s="532">
        <v>63.842000000000006</v>
      </c>
      <c r="L25" s="532">
        <v>0</v>
      </c>
      <c r="M25" s="532">
        <v>0</v>
      </c>
      <c r="N25" s="531">
        <v>13.43</v>
      </c>
      <c r="O25" s="532">
        <v>0</v>
      </c>
      <c r="P25" s="532">
        <v>13.43</v>
      </c>
      <c r="Q25" s="532">
        <v>0</v>
      </c>
      <c r="R25" s="532">
        <v>0</v>
      </c>
      <c r="S25" s="531">
        <v>0</v>
      </c>
      <c r="T25" s="532">
        <v>0</v>
      </c>
      <c r="U25" s="532">
        <v>0</v>
      </c>
      <c r="V25" s="532">
        <v>0</v>
      </c>
      <c r="W25" s="532">
        <v>0</v>
      </c>
      <c r="X25" s="531">
        <v>94.609000000000009</v>
      </c>
      <c r="Y25" s="532">
        <v>2.0949999999999998</v>
      </c>
      <c r="Z25" s="532">
        <v>92.51400000000001</v>
      </c>
      <c r="AA25" s="532">
        <v>0</v>
      </c>
      <c r="AB25" s="532">
        <v>0</v>
      </c>
      <c r="AC25" s="531">
        <v>8</v>
      </c>
      <c r="AD25" s="551">
        <v>70.2</v>
      </c>
      <c r="AE25" s="552"/>
      <c r="AF25" s="510"/>
    </row>
    <row r="26" spans="1:32" s="59" customFormat="1" ht="15" customHeight="1" thickBot="1" x14ac:dyDescent="0.3">
      <c r="A26" s="533">
        <v>22</v>
      </c>
      <c r="B26" s="541" t="s">
        <v>3982</v>
      </c>
      <c r="C26" s="542"/>
      <c r="D26" s="531">
        <v>5.29</v>
      </c>
      <c r="E26" s="532">
        <v>2.0300000000000002</v>
      </c>
      <c r="F26" s="532">
        <v>3.26</v>
      </c>
      <c r="G26" s="532">
        <v>0</v>
      </c>
      <c r="H26" s="532">
        <v>0</v>
      </c>
      <c r="I26" s="531">
        <v>27.700000000000003</v>
      </c>
      <c r="J26" s="532">
        <v>0</v>
      </c>
      <c r="K26" s="532">
        <v>27.700000000000003</v>
      </c>
      <c r="L26" s="532">
        <v>0</v>
      </c>
      <c r="M26" s="532">
        <v>0</v>
      </c>
      <c r="N26" s="531">
        <v>8.2600000000000016</v>
      </c>
      <c r="O26" s="532">
        <v>0</v>
      </c>
      <c r="P26" s="532">
        <v>8.2600000000000016</v>
      </c>
      <c r="Q26" s="532">
        <v>0</v>
      </c>
      <c r="R26" s="532">
        <v>0</v>
      </c>
      <c r="S26" s="531">
        <v>0</v>
      </c>
      <c r="T26" s="532">
        <v>0</v>
      </c>
      <c r="U26" s="532">
        <v>0</v>
      </c>
      <c r="V26" s="532">
        <v>0</v>
      </c>
      <c r="W26" s="532">
        <v>0</v>
      </c>
      <c r="X26" s="531">
        <v>41.25</v>
      </c>
      <c r="Y26" s="532">
        <v>2.0300000000000002</v>
      </c>
      <c r="Z26" s="532">
        <v>39.22</v>
      </c>
      <c r="AA26" s="532">
        <v>0</v>
      </c>
      <c r="AB26" s="532">
        <v>0</v>
      </c>
      <c r="AC26" s="531">
        <v>18.2</v>
      </c>
      <c r="AD26" s="551">
        <v>136.69999999999999</v>
      </c>
      <c r="AE26" s="552"/>
      <c r="AF26" s="510"/>
    </row>
    <row r="27" spans="1:32" s="59" customFormat="1" ht="15" customHeight="1" thickBot="1" x14ac:dyDescent="0.3">
      <c r="A27" s="533">
        <v>23</v>
      </c>
      <c r="B27" s="541" t="s">
        <v>3485</v>
      </c>
      <c r="C27" s="542"/>
      <c r="D27" s="531">
        <v>61.470000000000006</v>
      </c>
      <c r="E27" s="532">
        <v>2.29</v>
      </c>
      <c r="F27" s="532">
        <v>58.980000000000004</v>
      </c>
      <c r="G27" s="532">
        <v>0.2</v>
      </c>
      <c r="H27" s="532">
        <v>0</v>
      </c>
      <c r="I27" s="531">
        <v>14.217000000000002</v>
      </c>
      <c r="J27" s="532">
        <v>1.976</v>
      </c>
      <c r="K27" s="532">
        <v>9.8710000000000004</v>
      </c>
      <c r="L27" s="532">
        <v>2.37</v>
      </c>
      <c r="M27" s="532">
        <v>0</v>
      </c>
      <c r="N27" s="531">
        <v>8.2509999999999994</v>
      </c>
      <c r="O27" s="532">
        <v>0</v>
      </c>
      <c r="P27" s="532">
        <v>6.63</v>
      </c>
      <c r="Q27" s="532">
        <v>1.621</v>
      </c>
      <c r="R27" s="532">
        <v>0</v>
      </c>
      <c r="S27" s="531">
        <v>0</v>
      </c>
      <c r="T27" s="532">
        <v>0</v>
      </c>
      <c r="U27" s="532">
        <v>0</v>
      </c>
      <c r="V27" s="532">
        <v>0</v>
      </c>
      <c r="W27" s="532">
        <v>0</v>
      </c>
      <c r="X27" s="531">
        <v>83.938000000000017</v>
      </c>
      <c r="Y27" s="532">
        <v>4.266</v>
      </c>
      <c r="Z27" s="532">
        <v>75.480999999999995</v>
      </c>
      <c r="AA27" s="532">
        <v>4.1910000000000007</v>
      </c>
      <c r="AB27" s="532">
        <v>0</v>
      </c>
      <c r="AC27" s="531">
        <v>12.1</v>
      </c>
      <c r="AD27" s="551">
        <v>84.7</v>
      </c>
      <c r="AE27" s="552"/>
      <c r="AF27" s="510"/>
    </row>
    <row r="28" spans="1:32" s="59" customFormat="1" ht="15" customHeight="1" thickBot="1" x14ac:dyDescent="0.3">
      <c r="A28" s="533">
        <v>24</v>
      </c>
      <c r="B28" s="541" t="s">
        <v>3759</v>
      </c>
      <c r="C28" s="542"/>
      <c r="D28" s="538">
        <v>0</v>
      </c>
      <c r="E28" s="539">
        <v>0</v>
      </c>
      <c r="F28" s="539">
        <v>0</v>
      </c>
      <c r="G28" s="539">
        <v>0</v>
      </c>
      <c r="H28" s="539">
        <v>0</v>
      </c>
      <c r="I28" s="538">
        <v>0</v>
      </c>
      <c r="J28" s="539">
        <v>0</v>
      </c>
      <c r="K28" s="539">
        <v>0</v>
      </c>
      <c r="L28" s="539">
        <v>0</v>
      </c>
      <c r="M28" s="539">
        <v>0</v>
      </c>
      <c r="N28" s="538">
        <v>0</v>
      </c>
      <c r="O28" s="539">
        <v>0</v>
      </c>
      <c r="P28" s="539">
        <v>0</v>
      </c>
      <c r="Q28" s="539">
        <v>0</v>
      </c>
      <c r="R28" s="539">
        <v>0</v>
      </c>
      <c r="S28" s="538">
        <v>22.323999999999995</v>
      </c>
      <c r="T28" s="539">
        <v>18.571999999999996</v>
      </c>
      <c r="U28" s="539">
        <v>3.7520000000000002</v>
      </c>
      <c r="V28" s="539">
        <v>0</v>
      </c>
      <c r="W28" s="539">
        <v>0</v>
      </c>
      <c r="X28" s="538">
        <v>22.323999999999995</v>
      </c>
      <c r="Y28" s="539">
        <v>18.571999999999996</v>
      </c>
      <c r="Z28" s="539">
        <v>3.7520000000000002</v>
      </c>
      <c r="AA28" s="539">
        <v>0</v>
      </c>
      <c r="AB28" s="539">
        <v>0</v>
      </c>
      <c r="AC28" s="538">
        <v>18</v>
      </c>
      <c r="AD28" s="581">
        <v>180</v>
      </c>
      <c r="AE28" s="582"/>
      <c r="AF28" s="510"/>
    </row>
    <row r="29" spans="1:32" s="59" customFormat="1" ht="15" customHeight="1" thickBot="1" x14ac:dyDescent="0.3">
      <c r="A29" s="533">
        <v>25</v>
      </c>
      <c r="B29" s="541" t="s">
        <v>3983</v>
      </c>
      <c r="C29" s="542"/>
      <c r="D29" s="531">
        <v>3.734</v>
      </c>
      <c r="E29" s="532">
        <v>1.234</v>
      </c>
      <c r="F29" s="532">
        <v>2.5</v>
      </c>
      <c r="G29" s="532">
        <v>0</v>
      </c>
      <c r="H29" s="532">
        <v>0</v>
      </c>
      <c r="I29" s="531">
        <v>36.731000000000002</v>
      </c>
      <c r="J29" s="532">
        <v>0</v>
      </c>
      <c r="K29" s="532">
        <v>36.731000000000002</v>
      </c>
      <c r="L29" s="532">
        <v>0</v>
      </c>
      <c r="M29" s="532">
        <v>0</v>
      </c>
      <c r="N29" s="531">
        <v>14.849</v>
      </c>
      <c r="O29" s="532">
        <v>0</v>
      </c>
      <c r="P29" s="532">
        <v>14.849</v>
      </c>
      <c r="Q29" s="532">
        <v>0</v>
      </c>
      <c r="R29" s="532">
        <v>0</v>
      </c>
      <c r="S29" s="531">
        <v>0</v>
      </c>
      <c r="T29" s="532">
        <v>0</v>
      </c>
      <c r="U29" s="532">
        <v>0</v>
      </c>
      <c r="V29" s="532">
        <v>0</v>
      </c>
      <c r="W29" s="532">
        <v>0</v>
      </c>
      <c r="X29" s="531">
        <v>55.314000000000007</v>
      </c>
      <c r="Y29" s="532">
        <v>1.234</v>
      </c>
      <c r="Z29" s="532">
        <v>54.08</v>
      </c>
      <c r="AA29" s="532">
        <v>0</v>
      </c>
      <c r="AB29" s="532">
        <v>0</v>
      </c>
      <c r="AC29" s="531">
        <v>0</v>
      </c>
      <c r="AD29" s="551">
        <v>0</v>
      </c>
      <c r="AE29" s="552"/>
      <c r="AF29" s="510"/>
    </row>
    <row r="30" spans="1:32" s="59" customFormat="1" ht="15" customHeight="1" thickBot="1" x14ac:dyDescent="0.3">
      <c r="A30" s="545"/>
      <c r="B30" s="545"/>
      <c r="C30" s="545"/>
      <c r="D30" s="545"/>
      <c r="E30" s="545"/>
      <c r="F30" s="545"/>
      <c r="G30" s="545"/>
      <c r="H30" s="545"/>
      <c r="I30" s="545"/>
      <c r="J30" s="545"/>
      <c r="K30" s="545"/>
      <c r="L30" s="545"/>
      <c r="M30" s="545"/>
      <c r="N30" s="545"/>
      <c r="O30" s="545"/>
      <c r="P30" s="545"/>
      <c r="Q30" s="545"/>
      <c r="R30" s="545"/>
      <c r="S30" s="545"/>
      <c r="T30" s="545"/>
      <c r="U30" s="545"/>
      <c r="V30" s="545"/>
      <c r="W30" s="545"/>
      <c r="X30" s="545"/>
      <c r="Y30" s="545"/>
      <c r="Z30" s="545"/>
      <c r="AA30" s="545"/>
      <c r="AB30" s="545"/>
      <c r="AC30" s="545"/>
      <c r="AD30" s="545"/>
      <c r="AE30" s="546"/>
      <c r="AF30" s="510"/>
    </row>
    <row r="31" spans="1:32" s="59" customFormat="1" ht="15" customHeight="1" thickBot="1" x14ac:dyDescent="0.3">
      <c r="A31" s="535">
        <v>26</v>
      </c>
      <c r="B31" s="547" t="s">
        <v>3993</v>
      </c>
      <c r="C31" s="548"/>
      <c r="D31" s="536">
        <f>SUM(D5:D29)</f>
        <v>426.98799999999994</v>
      </c>
      <c r="E31" s="537">
        <f>SUM(E5:E29)</f>
        <v>68.578999999999994</v>
      </c>
      <c r="F31" s="537">
        <f>SUM(F5:F29)</f>
        <v>356.89100000000002</v>
      </c>
      <c r="G31" s="537">
        <f>SUM(G5:G29)</f>
        <v>1.518</v>
      </c>
      <c r="H31" s="537">
        <f t="shared" ref="H31:AD31" si="0">SUM(H5:H29)</f>
        <v>0</v>
      </c>
      <c r="I31" s="536">
        <f>SUM(I5:I29)</f>
        <v>826.11800000000005</v>
      </c>
      <c r="J31" s="537">
        <f t="shared" si="0"/>
        <v>35.997</v>
      </c>
      <c r="K31" s="537">
        <f t="shared" si="0"/>
        <v>785.17099999999994</v>
      </c>
      <c r="L31" s="537">
        <f t="shared" si="0"/>
        <v>4.95</v>
      </c>
      <c r="M31" s="537">
        <f t="shared" si="0"/>
        <v>0</v>
      </c>
      <c r="N31" s="536">
        <f t="shared" si="0"/>
        <v>264.43200000000002</v>
      </c>
      <c r="O31" s="537">
        <f t="shared" si="0"/>
        <v>4.9220000000000006</v>
      </c>
      <c r="P31" s="537">
        <f t="shared" si="0"/>
        <v>255.68699999999995</v>
      </c>
      <c r="Q31" s="537">
        <f t="shared" si="0"/>
        <v>3.8230000000000004</v>
      </c>
      <c r="R31" s="537">
        <f t="shared" si="0"/>
        <v>0</v>
      </c>
      <c r="S31" s="536">
        <f t="shared" si="0"/>
        <v>120.14700000000003</v>
      </c>
      <c r="T31" s="537">
        <f t="shared" si="0"/>
        <v>92.41900000000004</v>
      </c>
      <c r="U31" s="537">
        <f t="shared" si="0"/>
        <v>27.727999999999998</v>
      </c>
      <c r="V31" s="537">
        <f t="shared" si="0"/>
        <v>0</v>
      </c>
      <c r="W31" s="537">
        <f t="shared" si="0"/>
        <v>0</v>
      </c>
      <c r="X31" s="536">
        <f t="shared" si="0"/>
        <v>1637.6840000000004</v>
      </c>
      <c r="Y31" s="537">
        <f t="shared" si="0"/>
        <v>201.91299999999998</v>
      </c>
      <c r="Z31" s="537">
        <f t="shared" si="0"/>
        <v>1425.4799999999996</v>
      </c>
      <c r="AA31" s="537">
        <f t="shared" si="0"/>
        <v>21.913000000000004</v>
      </c>
      <c r="AB31" s="537">
        <f t="shared" si="0"/>
        <v>0</v>
      </c>
      <c r="AC31" s="536">
        <f t="shared" si="0"/>
        <v>802.73000000000013</v>
      </c>
      <c r="AD31" s="549">
        <f t="shared" si="0"/>
        <v>5966.2999999999993</v>
      </c>
      <c r="AE31" s="550"/>
      <c r="AF31" s="510"/>
    </row>
    <row r="32" spans="1:32" s="59" customFormat="1" ht="14.4" customHeight="1" x14ac:dyDescent="0.25">
      <c r="A32" s="509"/>
      <c r="B32" s="530"/>
      <c r="C32" s="530"/>
      <c r="D32" s="509"/>
      <c r="E32" s="509"/>
      <c r="F32" s="509"/>
      <c r="G32" s="509"/>
      <c r="H32" s="509"/>
      <c r="I32" s="509"/>
      <c r="J32" s="509"/>
      <c r="K32" s="509"/>
      <c r="L32" s="509"/>
      <c r="M32" s="509"/>
      <c r="N32" s="509"/>
      <c r="O32" s="509"/>
      <c r="P32" s="509"/>
      <c r="Q32" s="509"/>
      <c r="R32" s="509"/>
      <c r="S32" s="509"/>
      <c r="T32" s="509"/>
      <c r="U32" s="509"/>
      <c r="V32" s="509"/>
      <c r="W32" s="509"/>
      <c r="X32" s="509"/>
      <c r="Y32" s="509"/>
      <c r="Z32" s="509"/>
      <c r="AA32" s="509"/>
      <c r="AB32" s="509"/>
      <c r="AC32" s="509"/>
      <c r="AD32" s="509"/>
      <c r="AE32" s="510"/>
      <c r="AF32" s="510"/>
    </row>
    <row r="33" spans="1:32" s="59" customFormat="1" ht="14.4" customHeight="1" x14ac:dyDescent="0.25">
      <c r="A33" s="509"/>
      <c r="B33" s="530"/>
      <c r="C33" s="530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09"/>
      <c r="U33" s="509"/>
      <c r="V33" s="509"/>
      <c r="W33" s="509"/>
      <c r="X33" s="509"/>
      <c r="Y33" s="509"/>
      <c r="Z33" s="509"/>
      <c r="AA33" s="509"/>
      <c r="AB33" s="509"/>
      <c r="AC33" s="509"/>
      <c r="AD33" s="509"/>
      <c r="AE33" s="510"/>
      <c r="AF33" s="510"/>
    </row>
    <row r="34" spans="1:32" s="59" customFormat="1" ht="27.6" customHeight="1" x14ac:dyDescent="0.25">
      <c r="A34" s="509"/>
      <c r="B34" s="509"/>
      <c r="C34" s="512" t="s">
        <v>3985</v>
      </c>
      <c r="D34" s="543" t="s">
        <v>3986</v>
      </c>
      <c r="E34" s="543"/>
      <c r="F34" s="543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09"/>
      <c r="Z34" s="509"/>
      <c r="AA34" s="509"/>
      <c r="AB34" s="509"/>
      <c r="AC34" s="509"/>
      <c r="AD34" s="509"/>
      <c r="AE34" s="510"/>
      <c r="AF34" s="510"/>
    </row>
    <row r="35" spans="1:32" s="59" customFormat="1" ht="13.8" x14ac:dyDescent="0.25">
      <c r="A35" s="509"/>
      <c r="B35" s="509"/>
      <c r="C35" s="509"/>
      <c r="D35" s="509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10"/>
      <c r="AF35" s="510"/>
    </row>
    <row r="36" spans="1:32" s="59" customFormat="1" ht="13.8" x14ac:dyDescent="0.25">
      <c r="A36" s="509"/>
      <c r="B36" s="509"/>
      <c r="C36" s="509"/>
      <c r="D36" s="509"/>
      <c r="E36" s="509"/>
      <c r="F36" s="509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509"/>
      <c r="AA36" s="509"/>
      <c r="AB36" s="509"/>
      <c r="AC36" s="509"/>
      <c r="AD36" s="509"/>
      <c r="AE36" s="417"/>
      <c r="AF36" s="510"/>
    </row>
    <row r="37" spans="1:32" s="59" customFormat="1" ht="13.8" x14ac:dyDescent="0.25">
      <c r="B37" s="60"/>
      <c r="C37" s="438" t="s">
        <v>3989</v>
      </c>
      <c r="D37" s="544" t="s">
        <v>3990</v>
      </c>
      <c r="E37" s="544"/>
      <c r="F37" s="544"/>
      <c r="G37" s="544"/>
      <c r="H37" s="544"/>
      <c r="I37" s="544"/>
      <c r="T37" s="60"/>
      <c r="U37" s="60"/>
    </row>
    <row r="38" spans="1:32" s="59" customFormat="1" ht="13.95" customHeight="1" x14ac:dyDescent="0.25">
      <c r="B38" s="60"/>
      <c r="C38" s="438" t="s">
        <v>3987</v>
      </c>
      <c r="D38" s="553" t="s">
        <v>3988</v>
      </c>
      <c r="E38" s="553"/>
      <c r="F38" s="553"/>
      <c r="G38" s="553"/>
      <c r="H38" s="553"/>
      <c r="I38" s="553"/>
      <c r="K38" s="505"/>
      <c r="T38" s="60"/>
      <c r="U38" s="60"/>
    </row>
    <row r="39" spans="1:32" s="59" customFormat="1" ht="14.4" customHeight="1" x14ac:dyDescent="0.25">
      <c r="T39" s="60"/>
      <c r="U39" s="60"/>
    </row>
    <row r="40" spans="1:32" s="59" customFormat="1" ht="13.8" x14ac:dyDescent="0.25">
      <c r="B40" s="554" t="s">
        <v>3984</v>
      </c>
      <c r="C40" s="554"/>
      <c r="D40" s="554"/>
      <c r="E40" s="554"/>
      <c r="F40" s="554"/>
      <c r="G40" s="554"/>
      <c r="H40" s="554"/>
      <c r="I40" s="554"/>
      <c r="T40" s="60"/>
      <c r="U40" s="60"/>
    </row>
  </sheetData>
  <mergeCells count="68">
    <mergeCell ref="AD18:AE18"/>
    <mergeCell ref="AD17:AE17"/>
    <mergeCell ref="AD16:AE16"/>
    <mergeCell ref="AD15:AE15"/>
    <mergeCell ref="AD24:AE24"/>
    <mergeCell ref="AD23:AE23"/>
    <mergeCell ref="AD22:AE22"/>
    <mergeCell ref="AD21:AE21"/>
    <mergeCell ref="AD19:AE19"/>
    <mergeCell ref="AD20:AE20"/>
    <mergeCell ref="AD29:AE29"/>
    <mergeCell ref="AD28:AE28"/>
    <mergeCell ref="AD27:AE27"/>
    <mergeCell ref="AD26:AE26"/>
    <mergeCell ref="AD25:AE25"/>
    <mergeCell ref="B29:C29"/>
    <mergeCell ref="B28:C28"/>
    <mergeCell ref="B27:C27"/>
    <mergeCell ref="B12:C12"/>
    <mergeCell ref="B13:C13"/>
    <mergeCell ref="B14:C14"/>
    <mergeCell ref="B15:C15"/>
    <mergeCell ref="B16:C16"/>
    <mergeCell ref="B17:C17"/>
    <mergeCell ref="B18:C18"/>
    <mergeCell ref="B19:C19"/>
    <mergeCell ref="B21:C21"/>
    <mergeCell ref="B22:C22"/>
    <mergeCell ref="B23:C23"/>
    <mergeCell ref="B24:C24"/>
    <mergeCell ref="B8:C8"/>
    <mergeCell ref="B9:C9"/>
    <mergeCell ref="B10:C10"/>
    <mergeCell ref="AD8:AE8"/>
    <mergeCell ref="AD9:AE9"/>
    <mergeCell ref="AD10:AE10"/>
    <mergeCell ref="D38:I38"/>
    <mergeCell ref="B40:I40"/>
    <mergeCell ref="A1:AE1"/>
    <mergeCell ref="A2:A4"/>
    <mergeCell ref="B2:C4"/>
    <mergeCell ref="D2:AB2"/>
    <mergeCell ref="AC2:AE3"/>
    <mergeCell ref="D3:H3"/>
    <mergeCell ref="I3:M3"/>
    <mergeCell ref="N3:R3"/>
    <mergeCell ref="S3:W3"/>
    <mergeCell ref="X3:AB3"/>
    <mergeCell ref="AD4:AE4"/>
    <mergeCell ref="AD5:AE5"/>
    <mergeCell ref="AD6:AE6"/>
    <mergeCell ref="AD7:AE7"/>
    <mergeCell ref="B5:C5"/>
    <mergeCell ref="B6:C6"/>
    <mergeCell ref="B7:C7"/>
    <mergeCell ref="D34:F34"/>
    <mergeCell ref="D37:I37"/>
    <mergeCell ref="B11:C11"/>
    <mergeCell ref="B20:C20"/>
    <mergeCell ref="B25:C25"/>
    <mergeCell ref="B26:C26"/>
    <mergeCell ref="A30:AE30"/>
    <mergeCell ref="B31:C31"/>
    <mergeCell ref="AD31:AE31"/>
    <mergeCell ref="AD11:AE11"/>
    <mergeCell ref="AD12:AE12"/>
    <mergeCell ref="AD13:AE13"/>
    <mergeCell ref="AD14:AE14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F0EDC-0519-46F2-BED9-CDD0685CAEF5}">
  <dimension ref="A1:AF299"/>
  <sheetViews>
    <sheetView workbookViewId="0">
      <selection activeCell="W3" sqref="W3"/>
    </sheetView>
  </sheetViews>
  <sheetFormatPr defaultRowHeight="14.4" x14ac:dyDescent="0.3"/>
  <cols>
    <col min="1" max="1" width="15.5546875" style="59" bestFit="1" customWidth="1"/>
    <col min="2" max="2" width="36.88671875" style="135" bestFit="1" customWidth="1"/>
    <col min="3" max="3" width="10.44140625" style="349" customWidth="1"/>
    <col min="4" max="5" width="8.88671875" style="349"/>
    <col min="6" max="6" width="10.6640625" style="135" customWidth="1"/>
    <col min="7" max="7" width="8.88671875" style="135"/>
    <col min="8" max="8" width="10.6640625" style="135" customWidth="1"/>
    <col min="9" max="9" width="18" style="135" customWidth="1"/>
    <col min="10" max="10" width="15.88671875" style="135" customWidth="1"/>
    <col min="11" max="11" width="8.88671875" style="135"/>
    <col min="12" max="12" width="10.109375" style="135" customWidth="1"/>
    <col min="13" max="13" width="11.5546875" style="135" customWidth="1"/>
    <col min="14" max="14" width="12" style="135" customWidth="1"/>
    <col min="15" max="15" width="12.6640625" style="135" customWidth="1"/>
    <col min="16" max="17" width="8.88671875" style="135"/>
    <col min="18" max="18" width="14" style="135" customWidth="1"/>
    <col min="19" max="19" width="19" style="135" customWidth="1"/>
    <col min="20" max="20" width="24.44140625" style="534" customWidth="1"/>
    <col min="21" max="21" width="22.6640625" customWidth="1"/>
    <col min="24" max="24" width="10.33203125" bestFit="1" customWidth="1"/>
    <col min="29" max="29" width="10.33203125" bestFit="1" customWidth="1"/>
  </cols>
  <sheetData>
    <row r="1" spans="1:21" ht="18" thickBot="1" x14ac:dyDescent="0.35">
      <c r="A1" s="971" t="s">
        <v>1685</v>
      </c>
      <c r="B1" s="971"/>
      <c r="C1" s="971"/>
      <c r="D1" s="971"/>
      <c r="E1" s="971"/>
      <c r="F1" s="971"/>
      <c r="G1" s="971"/>
      <c r="H1" s="971"/>
      <c r="I1" s="971"/>
      <c r="J1" s="971"/>
      <c r="K1" s="971"/>
      <c r="L1" s="971"/>
      <c r="M1" s="971"/>
      <c r="N1" s="971"/>
      <c r="O1" s="971"/>
      <c r="P1" s="971"/>
      <c r="Q1" s="971"/>
      <c r="R1" s="971"/>
      <c r="S1" s="971"/>
      <c r="T1" s="971"/>
      <c r="U1" s="971"/>
    </row>
    <row r="2" spans="1:2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972" t="s">
        <v>207</v>
      </c>
      <c r="U2" s="973"/>
    </row>
    <row r="3" spans="1:21" ht="36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974"/>
      <c r="U3" s="975"/>
    </row>
    <row r="4" spans="1:21" ht="48.75" customHeight="1" thickBot="1" x14ac:dyDescent="0.35">
      <c r="A4" s="955"/>
      <c r="B4" s="593"/>
      <c r="C4" s="976" t="s">
        <v>11</v>
      </c>
      <c r="D4" s="977"/>
      <c r="E4" s="978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974"/>
      <c r="U4" s="975"/>
    </row>
    <row r="5" spans="1:21" ht="47.4" customHeight="1" thickBot="1" x14ac:dyDescent="0.35">
      <c r="A5" s="955"/>
      <c r="B5" s="593"/>
      <c r="C5" s="339" t="s">
        <v>22</v>
      </c>
      <c r="D5" s="339" t="s">
        <v>23</v>
      </c>
      <c r="E5" s="979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974"/>
      <c r="U5" s="975"/>
    </row>
    <row r="6" spans="1:21" ht="15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5">
        <v>21</v>
      </c>
    </row>
    <row r="7" spans="1:21" ht="48.6" thickBot="1" x14ac:dyDescent="0.35">
      <c r="A7" s="340" t="s">
        <v>1686</v>
      </c>
      <c r="B7" s="341" t="s">
        <v>1687</v>
      </c>
      <c r="C7" s="68">
        <v>0</v>
      </c>
      <c r="D7" s="68">
        <v>0.02</v>
      </c>
      <c r="E7" s="68">
        <v>0.02</v>
      </c>
      <c r="F7" s="82">
        <v>120</v>
      </c>
      <c r="G7" s="57" t="s">
        <v>1688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94">
        <v>70620120103</v>
      </c>
      <c r="S7" s="57" t="s">
        <v>1689</v>
      </c>
      <c r="T7" s="57" t="s">
        <v>1690</v>
      </c>
      <c r="U7" s="342"/>
    </row>
    <row r="8" spans="1:21" ht="48.6" thickBot="1" x14ac:dyDescent="0.35">
      <c r="A8" s="343" t="s">
        <v>1691</v>
      </c>
      <c r="B8" s="344" t="s">
        <v>1692</v>
      </c>
      <c r="C8" s="41">
        <v>0</v>
      </c>
      <c r="D8" s="41">
        <v>0.52</v>
      </c>
      <c r="E8" s="41">
        <v>0.52</v>
      </c>
      <c r="F8" s="4">
        <v>3102</v>
      </c>
      <c r="G8" s="3" t="s">
        <v>1688</v>
      </c>
      <c r="H8" s="3"/>
      <c r="I8" s="3"/>
      <c r="J8" s="3"/>
      <c r="K8" s="3"/>
      <c r="L8" s="3"/>
      <c r="M8" s="3"/>
      <c r="N8" s="3"/>
      <c r="O8" s="3"/>
      <c r="P8" s="3"/>
      <c r="Q8" s="3"/>
      <c r="R8" s="27">
        <v>70620120102</v>
      </c>
      <c r="S8" s="3" t="s">
        <v>1689</v>
      </c>
      <c r="T8" s="3" t="s">
        <v>1690</v>
      </c>
      <c r="U8" s="110"/>
    </row>
    <row r="9" spans="1:21" ht="14.4" customHeight="1" x14ac:dyDescent="0.3">
      <c r="A9" s="980" t="s">
        <v>1693</v>
      </c>
      <c r="B9" s="983" t="s">
        <v>46</v>
      </c>
      <c r="C9" s="43">
        <v>0</v>
      </c>
      <c r="D9" s="43">
        <v>0.09</v>
      </c>
      <c r="E9" s="645">
        <v>0.13</v>
      </c>
      <c r="F9" s="647">
        <v>630</v>
      </c>
      <c r="G9" s="641" t="s">
        <v>1688</v>
      </c>
      <c r="H9" s="33"/>
      <c r="I9" s="33"/>
      <c r="J9" s="33"/>
      <c r="K9" s="33"/>
      <c r="L9" s="33"/>
      <c r="M9" s="33"/>
      <c r="N9" s="33"/>
      <c r="O9" s="33"/>
      <c r="P9" s="33"/>
      <c r="Q9" s="33"/>
      <c r="R9" s="33">
        <v>70620110438</v>
      </c>
      <c r="S9" s="641" t="s">
        <v>1689</v>
      </c>
      <c r="T9" s="641" t="s">
        <v>1690</v>
      </c>
      <c r="U9" s="744"/>
    </row>
    <row r="10" spans="1:21" ht="39.6" customHeight="1" thickBot="1" x14ac:dyDescent="0.35">
      <c r="A10" s="982"/>
      <c r="B10" s="985"/>
      <c r="C10" s="46">
        <v>0.09</v>
      </c>
      <c r="D10" s="46">
        <v>0.13</v>
      </c>
      <c r="E10" s="646"/>
      <c r="F10" s="648"/>
      <c r="G10" s="634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19" t="s">
        <v>1694</v>
      </c>
      <c r="S10" s="634"/>
      <c r="T10" s="634"/>
      <c r="U10" s="745"/>
    </row>
    <row r="11" spans="1:21" ht="48.6" thickBot="1" x14ac:dyDescent="0.35">
      <c r="A11" s="343" t="s">
        <v>1695</v>
      </c>
      <c r="B11" s="344" t="s">
        <v>1696</v>
      </c>
      <c r="C11" s="41">
        <v>0</v>
      </c>
      <c r="D11" s="41">
        <v>0.65</v>
      </c>
      <c r="E11" s="41">
        <v>0.65</v>
      </c>
      <c r="F11" s="4">
        <v>5168</v>
      </c>
      <c r="G11" s="3" t="s">
        <v>1688</v>
      </c>
      <c r="H11" s="3"/>
      <c r="I11" s="41">
        <v>0.1</v>
      </c>
      <c r="J11" s="27" t="s">
        <v>1697</v>
      </c>
      <c r="K11" s="3">
        <v>30</v>
      </c>
      <c r="L11" s="3">
        <v>240</v>
      </c>
      <c r="M11" s="3"/>
      <c r="N11" s="3"/>
      <c r="O11" s="3"/>
      <c r="P11" s="3"/>
      <c r="Q11" s="3"/>
      <c r="R11" s="27">
        <v>70620110405</v>
      </c>
      <c r="S11" s="3" t="s">
        <v>1689</v>
      </c>
      <c r="T11" s="3" t="s">
        <v>1690</v>
      </c>
      <c r="U11" s="110"/>
    </row>
    <row r="12" spans="1:21" ht="48.6" thickBot="1" x14ac:dyDescent="0.35">
      <c r="A12" s="343" t="s">
        <v>1698</v>
      </c>
      <c r="B12" s="344" t="s">
        <v>1699</v>
      </c>
      <c r="C12" s="41">
        <v>0</v>
      </c>
      <c r="D12" s="41">
        <v>0.27</v>
      </c>
      <c r="E12" s="41">
        <v>0.27</v>
      </c>
      <c r="F12" s="4">
        <v>1855</v>
      </c>
      <c r="G12" s="3" t="s">
        <v>1688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27">
        <v>70620110412</v>
      </c>
      <c r="S12" s="3" t="s">
        <v>1689</v>
      </c>
      <c r="T12" s="3" t="s">
        <v>1690</v>
      </c>
      <c r="U12" s="110"/>
    </row>
    <row r="13" spans="1:21" ht="14.4" customHeight="1" x14ac:dyDescent="0.3">
      <c r="A13" s="980" t="s">
        <v>1700</v>
      </c>
      <c r="B13" s="983" t="s">
        <v>1283</v>
      </c>
      <c r="C13" s="43">
        <v>0</v>
      </c>
      <c r="D13" s="43">
        <v>0.24</v>
      </c>
      <c r="E13" s="645">
        <v>0.33</v>
      </c>
      <c r="F13" s="647">
        <v>1986</v>
      </c>
      <c r="G13" s="641" t="s">
        <v>1688</v>
      </c>
      <c r="H13" s="33"/>
      <c r="I13" s="43"/>
      <c r="J13" s="34"/>
      <c r="K13" s="33"/>
      <c r="L13" s="33"/>
      <c r="M13" s="33"/>
      <c r="N13" s="33"/>
      <c r="O13" s="33"/>
      <c r="P13" s="33"/>
      <c r="Q13" s="33"/>
      <c r="R13" s="34">
        <v>70620110413</v>
      </c>
      <c r="S13" s="641" t="s">
        <v>1689</v>
      </c>
      <c r="T13" s="641" t="s">
        <v>1690</v>
      </c>
      <c r="U13" s="744"/>
    </row>
    <row r="14" spans="1:21" x14ac:dyDescent="0.3">
      <c r="A14" s="981"/>
      <c r="B14" s="984"/>
      <c r="C14" s="654">
        <v>0.24</v>
      </c>
      <c r="D14" s="654">
        <v>0.33</v>
      </c>
      <c r="E14" s="654"/>
      <c r="F14" s="655"/>
      <c r="G14" s="633"/>
      <c r="H14" s="14"/>
      <c r="I14" s="48"/>
      <c r="J14" s="13"/>
      <c r="K14" s="14"/>
      <c r="L14" s="14"/>
      <c r="M14" s="14"/>
      <c r="N14" s="14"/>
      <c r="O14" s="14"/>
      <c r="P14" s="14"/>
      <c r="Q14" s="14"/>
      <c r="R14" s="13">
        <v>70620110248</v>
      </c>
      <c r="S14" s="633"/>
      <c r="T14" s="633"/>
      <c r="U14" s="750"/>
    </row>
    <row r="15" spans="1:21" x14ac:dyDescent="0.3">
      <c r="A15" s="981"/>
      <c r="B15" s="984"/>
      <c r="C15" s="654"/>
      <c r="D15" s="654"/>
      <c r="E15" s="654"/>
      <c r="F15" s="655"/>
      <c r="G15" s="633"/>
      <c r="H15" s="14"/>
      <c r="I15" s="48"/>
      <c r="J15" s="13"/>
      <c r="K15" s="14"/>
      <c r="L15" s="14"/>
      <c r="M15" s="14"/>
      <c r="N15" s="14"/>
      <c r="O15" s="14"/>
      <c r="P15" s="14"/>
      <c r="Q15" s="14"/>
      <c r="R15" s="13">
        <v>70620110355</v>
      </c>
      <c r="S15" s="633"/>
      <c r="T15" s="633"/>
      <c r="U15" s="750"/>
    </row>
    <row r="16" spans="1:21" x14ac:dyDescent="0.3">
      <c r="A16" s="981"/>
      <c r="B16" s="984"/>
      <c r="C16" s="654"/>
      <c r="D16" s="654"/>
      <c r="E16" s="654"/>
      <c r="F16" s="655"/>
      <c r="G16" s="633"/>
      <c r="H16" s="14"/>
      <c r="I16" s="48"/>
      <c r="J16" s="13"/>
      <c r="K16" s="14"/>
      <c r="L16" s="14"/>
      <c r="M16" s="14"/>
      <c r="N16" s="14"/>
      <c r="O16" s="14"/>
      <c r="P16" s="14"/>
      <c r="Q16" s="14"/>
      <c r="R16" s="13" t="s">
        <v>1701</v>
      </c>
      <c r="S16" s="633"/>
      <c r="T16" s="633"/>
      <c r="U16" s="750"/>
    </row>
    <row r="17" spans="1:21" ht="15" thickBot="1" x14ac:dyDescent="0.35">
      <c r="A17" s="982"/>
      <c r="B17" s="985"/>
      <c r="C17" s="646"/>
      <c r="D17" s="646"/>
      <c r="E17" s="646"/>
      <c r="F17" s="648"/>
      <c r="G17" s="634"/>
      <c r="H17" s="20"/>
      <c r="I17" s="46"/>
      <c r="J17" s="19"/>
      <c r="K17" s="20"/>
      <c r="L17" s="20"/>
      <c r="M17" s="20"/>
      <c r="N17" s="20"/>
      <c r="O17" s="20"/>
      <c r="P17" s="20"/>
      <c r="Q17" s="20"/>
      <c r="R17" s="20">
        <v>70620110140</v>
      </c>
      <c r="S17" s="634"/>
      <c r="T17" s="634"/>
      <c r="U17" s="745"/>
    </row>
    <row r="18" spans="1:21" ht="14.4" customHeight="1" x14ac:dyDescent="0.3">
      <c r="A18" s="980" t="s">
        <v>1702</v>
      </c>
      <c r="B18" s="983" t="s">
        <v>373</v>
      </c>
      <c r="C18" s="645">
        <v>0</v>
      </c>
      <c r="D18" s="645">
        <v>0.67</v>
      </c>
      <c r="E18" s="694">
        <v>0.67</v>
      </c>
      <c r="F18" s="44">
        <v>1460</v>
      </c>
      <c r="G18" s="662" t="s">
        <v>1688</v>
      </c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640">
        <v>70620110470</v>
      </c>
      <c r="S18" s="641" t="s">
        <v>1689</v>
      </c>
      <c r="T18" s="641" t="s">
        <v>1690</v>
      </c>
      <c r="U18" s="744"/>
    </row>
    <row r="19" spans="1:21" ht="37.200000000000003" customHeight="1" thickBot="1" x14ac:dyDescent="0.35">
      <c r="A19" s="982"/>
      <c r="B19" s="985"/>
      <c r="C19" s="646"/>
      <c r="D19" s="646"/>
      <c r="E19" s="696"/>
      <c r="F19" s="47">
        <v>1228</v>
      </c>
      <c r="G19" s="663"/>
      <c r="H19" s="20"/>
      <c r="I19" s="46"/>
      <c r="J19" s="19"/>
      <c r="K19" s="20"/>
      <c r="L19" s="20"/>
      <c r="M19" s="20"/>
      <c r="N19" s="20"/>
      <c r="O19" s="20"/>
      <c r="P19" s="20"/>
      <c r="Q19" s="20"/>
      <c r="R19" s="631"/>
      <c r="S19" s="634"/>
      <c r="T19" s="634"/>
      <c r="U19" s="745"/>
    </row>
    <row r="20" spans="1:21" ht="14.4" customHeight="1" x14ac:dyDescent="0.3">
      <c r="A20" s="986" t="s">
        <v>1703</v>
      </c>
      <c r="B20" s="983" t="s">
        <v>265</v>
      </c>
      <c r="C20" s="645">
        <v>0</v>
      </c>
      <c r="D20" s="645">
        <v>0.39</v>
      </c>
      <c r="E20" s="645">
        <v>0.39</v>
      </c>
      <c r="F20" s="647">
        <v>1050</v>
      </c>
      <c r="G20" s="641" t="s">
        <v>1688</v>
      </c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4" t="s">
        <v>1704</v>
      </c>
      <c r="S20" s="641" t="s">
        <v>1689</v>
      </c>
      <c r="T20" s="641" t="s">
        <v>1690</v>
      </c>
      <c r="U20" s="744"/>
    </row>
    <row r="21" spans="1:21" x14ac:dyDescent="0.3">
      <c r="A21" s="987"/>
      <c r="B21" s="984"/>
      <c r="C21" s="654"/>
      <c r="D21" s="654"/>
      <c r="E21" s="654"/>
      <c r="F21" s="655"/>
      <c r="G21" s="633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3" t="s">
        <v>1705</v>
      </c>
      <c r="S21" s="633"/>
      <c r="T21" s="633"/>
      <c r="U21" s="750"/>
    </row>
    <row r="22" spans="1:21" ht="29.4" customHeight="1" thickBot="1" x14ac:dyDescent="0.35">
      <c r="A22" s="988"/>
      <c r="B22" s="985"/>
      <c r="C22" s="646"/>
      <c r="D22" s="646"/>
      <c r="E22" s="646"/>
      <c r="F22" s="648"/>
      <c r="G22" s="634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19">
        <v>70620110469</v>
      </c>
      <c r="S22" s="634"/>
      <c r="T22" s="634"/>
      <c r="U22" s="745"/>
    </row>
    <row r="23" spans="1:21" ht="14.4" customHeight="1" x14ac:dyDescent="0.3">
      <c r="A23" s="980" t="s">
        <v>1706</v>
      </c>
      <c r="B23" s="983" t="s">
        <v>939</v>
      </c>
      <c r="C23" s="43">
        <v>0</v>
      </c>
      <c r="D23" s="43">
        <v>1.24</v>
      </c>
      <c r="E23" s="694">
        <v>1.45</v>
      </c>
      <c r="F23" s="44">
        <v>8673</v>
      </c>
      <c r="G23" s="33" t="s">
        <v>1688</v>
      </c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4">
        <v>70620110196</v>
      </c>
      <c r="S23" s="641" t="s">
        <v>1689</v>
      </c>
      <c r="T23" s="641" t="s">
        <v>1690</v>
      </c>
      <c r="U23" s="744"/>
    </row>
    <row r="24" spans="1:21" ht="41.4" customHeight="1" thickBot="1" x14ac:dyDescent="0.35">
      <c r="A24" s="982"/>
      <c r="B24" s="985"/>
      <c r="C24" s="46">
        <v>1.24</v>
      </c>
      <c r="D24" s="46">
        <v>1.45</v>
      </c>
      <c r="E24" s="696"/>
      <c r="F24" s="47">
        <v>1463</v>
      </c>
      <c r="G24" s="20" t="s">
        <v>368</v>
      </c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19">
        <v>70620110215</v>
      </c>
      <c r="S24" s="634"/>
      <c r="T24" s="634"/>
      <c r="U24" s="745"/>
    </row>
    <row r="25" spans="1:21" ht="14.4" customHeight="1" x14ac:dyDescent="0.3">
      <c r="A25" s="980" t="s">
        <v>1707</v>
      </c>
      <c r="B25" s="983" t="s">
        <v>1708</v>
      </c>
      <c r="C25" s="645">
        <v>0</v>
      </c>
      <c r="D25" s="645">
        <v>0.1</v>
      </c>
      <c r="E25" s="645">
        <v>0.1</v>
      </c>
      <c r="F25" s="647">
        <v>475</v>
      </c>
      <c r="G25" s="641" t="s">
        <v>1688</v>
      </c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4">
        <v>70620110420</v>
      </c>
      <c r="S25" s="641" t="s">
        <v>1689</v>
      </c>
      <c r="T25" s="641" t="s">
        <v>1690</v>
      </c>
      <c r="U25" s="744"/>
    </row>
    <row r="26" spans="1:21" ht="36" customHeight="1" thickBot="1" x14ac:dyDescent="0.35">
      <c r="A26" s="982"/>
      <c r="B26" s="985"/>
      <c r="C26" s="646"/>
      <c r="D26" s="646"/>
      <c r="E26" s="646"/>
      <c r="F26" s="648"/>
      <c r="G26" s="634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9" t="s">
        <v>1709</v>
      </c>
      <c r="S26" s="634"/>
      <c r="T26" s="634"/>
      <c r="U26" s="745"/>
    </row>
    <row r="27" spans="1:21" ht="48.6" thickBot="1" x14ac:dyDescent="0.35">
      <c r="A27" s="343" t="s">
        <v>1710</v>
      </c>
      <c r="B27" s="344" t="s">
        <v>48</v>
      </c>
      <c r="C27" s="41">
        <v>0</v>
      </c>
      <c r="D27" s="41">
        <v>0.09</v>
      </c>
      <c r="E27" s="41">
        <v>0.09</v>
      </c>
      <c r="F27" s="4">
        <v>340</v>
      </c>
      <c r="G27" s="3" t="s">
        <v>1688</v>
      </c>
      <c r="H27" s="3"/>
      <c r="I27" s="41"/>
      <c r="J27" s="27"/>
      <c r="K27" s="3"/>
      <c r="L27" s="3"/>
      <c r="M27" s="3"/>
      <c r="N27" s="3"/>
      <c r="O27" s="3"/>
      <c r="P27" s="3"/>
      <c r="Q27" s="3"/>
      <c r="R27" s="27">
        <v>70620110418</v>
      </c>
      <c r="S27" s="3" t="s">
        <v>1689</v>
      </c>
      <c r="T27" s="3" t="s">
        <v>1690</v>
      </c>
      <c r="U27" s="110"/>
    </row>
    <row r="28" spans="1:21" ht="14.4" customHeight="1" x14ac:dyDescent="0.3">
      <c r="A28" s="986" t="s">
        <v>1711</v>
      </c>
      <c r="B28" s="989" t="s">
        <v>948</v>
      </c>
      <c r="C28" s="694">
        <v>0</v>
      </c>
      <c r="D28" s="694">
        <v>0.2</v>
      </c>
      <c r="E28" s="694">
        <v>0.2</v>
      </c>
      <c r="F28" s="723">
        <v>830</v>
      </c>
      <c r="G28" s="662" t="s">
        <v>1688</v>
      </c>
      <c r="H28" s="53"/>
      <c r="I28" s="70"/>
      <c r="J28" s="89"/>
      <c r="K28" s="53"/>
      <c r="L28" s="53"/>
      <c r="M28" s="53"/>
      <c r="N28" s="53"/>
      <c r="O28" s="53"/>
      <c r="P28" s="53"/>
      <c r="Q28" s="53"/>
      <c r="R28" s="89">
        <v>70620110013</v>
      </c>
      <c r="S28" s="662" t="s">
        <v>1689</v>
      </c>
      <c r="T28" s="662" t="s">
        <v>1690</v>
      </c>
      <c r="U28" s="992"/>
    </row>
    <row r="29" spans="1:21" x14ac:dyDescent="0.3">
      <c r="A29" s="987"/>
      <c r="B29" s="990"/>
      <c r="C29" s="695"/>
      <c r="D29" s="695"/>
      <c r="E29" s="695"/>
      <c r="F29" s="712"/>
      <c r="G29" s="714"/>
      <c r="H29" s="14"/>
      <c r="I29" s="48"/>
      <c r="J29" s="13"/>
      <c r="K29" s="14"/>
      <c r="L29" s="14"/>
      <c r="M29" s="14"/>
      <c r="N29" s="14"/>
      <c r="O29" s="14"/>
      <c r="P29" s="14"/>
      <c r="Q29" s="14"/>
      <c r="R29" s="13">
        <v>70620110310</v>
      </c>
      <c r="S29" s="714"/>
      <c r="T29" s="714"/>
      <c r="U29" s="993"/>
    </row>
    <row r="30" spans="1:21" ht="24" customHeight="1" thickBot="1" x14ac:dyDescent="0.35">
      <c r="A30" s="988"/>
      <c r="B30" s="991"/>
      <c r="C30" s="696"/>
      <c r="D30" s="696"/>
      <c r="E30" s="696"/>
      <c r="F30" s="713"/>
      <c r="G30" s="663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19">
        <v>70620110062</v>
      </c>
      <c r="S30" s="663"/>
      <c r="T30" s="663"/>
      <c r="U30" s="994"/>
    </row>
    <row r="31" spans="1:21" ht="14.4" customHeight="1" x14ac:dyDescent="0.3">
      <c r="A31" s="995" t="s">
        <v>1712</v>
      </c>
      <c r="B31" s="996" t="s">
        <v>1699</v>
      </c>
      <c r="C31" s="79">
        <v>0</v>
      </c>
      <c r="D31" s="79">
        <v>0.1</v>
      </c>
      <c r="E31" s="998">
        <v>0.17</v>
      </c>
      <c r="F31" s="999">
        <v>860</v>
      </c>
      <c r="G31" s="632" t="s">
        <v>1688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8">
        <v>70620110425</v>
      </c>
      <c r="S31" s="632" t="s">
        <v>1689</v>
      </c>
      <c r="T31" s="632" t="s">
        <v>1690</v>
      </c>
      <c r="U31" s="635" t="s">
        <v>67</v>
      </c>
    </row>
    <row r="32" spans="1:21" ht="36" customHeight="1" thickBot="1" x14ac:dyDescent="0.35">
      <c r="A32" s="982"/>
      <c r="B32" s="997"/>
      <c r="C32" s="46">
        <v>0.1</v>
      </c>
      <c r="D32" s="46">
        <v>0.17</v>
      </c>
      <c r="E32" s="646"/>
      <c r="F32" s="648"/>
      <c r="G32" s="634"/>
      <c r="H32" s="20"/>
      <c r="I32" s="20"/>
      <c r="J32" s="346"/>
      <c r="K32" s="20"/>
      <c r="L32" s="20"/>
      <c r="M32" s="20"/>
      <c r="N32" s="20"/>
      <c r="O32" s="20"/>
      <c r="P32" s="20"/>
      <c r="Q32" s="20"/>
      <c r="R32" s="19">
        <v>70620110424</v>
      </c>
      <c r="S32" s="634"/>
      <c r="T32" s="634"/>
      <c r="U32" s="637"/>
    </row>
    <row r="33" spans="1:21" ht="14.25" customHeight="1" x14ac:dyDescent="0.3">
      <c r="A33" s="643" t="s">
        <v>1713</v>
      </c>
      <c r="B33" s="983" t="s">
        <v>1714</v>
      </c>
      <c r="C33" s="43">
        <v>0</v>
      </c>
      <c r="D33" s="43">
        <v>0.23</v>
      </c>
      <c r="E33" s="645">
        <v>8.16</v>
      </c>
      <c r="F33" s="647">
        <v>40800</v>
      </c>
      <c r="G33" s="641" t="s">
        <v>368</v>
      </c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>
        <v>70620060169</v>
      </c>
      <c r="S33" s="641"/>
      <c r="T33" s="641" t="s">
        <v>1690</v>
      </c>
      <c r="U33" s="642" t="s">
        <v>67</v>
      </c>
    </row>
    <row r="34" spans="1:21" x14ac:dyDescent="0.3">
      <c r="A34" s="742"/>
      <c r="B34" s="984"/>
      <c r="C34" s="48">
        <v>0.23</v>
      </c>
      <c r="D34" s="48">
        <v>0.45</v>
      </c>
      <c r="E34" s="654"/>
      <c r="F34" s="655"/>
      <c r="G34" s="63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 t="s">
        <v>1715</v>
      </c>
      <c r="S34" s="633"/>
      <c r="T34" s="633"/>
      <c r="U34" s="636"/>
    </row>
    <row r="35" spans="1:21" x14ac:dyDescent="0.3">
      <c r="A35" s="742"/>
      <c r="B35" s="984"/>
      <c r="C35" s="48">
        <v>0.45</v>
      </c>
      <c r="D35" s="48">
        <v>0.89</v>
      </c>
      <c r="E35" s="654"/>
      <c r="F35" s="655"/>
      <c r="G35" s="63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4" t="s">
        <v>1716</v>
      </c>
      <c r="S35" s="633"/>
      <c r="T35" s="633"/>
      <c r="U35" s="636"/>
    </row>
    <row r="36" spans="1:21" x14ac:dyDescent="0.3">
      <c r="A36" s="742"/>
      <c r="B36" s="984"/>
      <c r="C36" s="48">
        <v>0.89</v>
      </c>
      <c r="D36" s="48">
        <v>1.3</v>
      </c>
      <c r="E36" s="654"/>
      <c r="F36" s="655"/>
      <c r="G36" s="63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4">
        <v>70740020074</v>
      </c>
      <c r="S36" s="633"/>
      <c r="T36" s="633"/>
      <c r="U36" s="636"/>
    </row>
    <row r="37" spans="1:21" x14ac:dyDescent="0.3">
      <c r="A37" s="742"/>
      <c r="B37" s="984"/>
      <c r="C37" s="48">
        <v>1.3</v>
      </c>
      <c r="D37" s="48">
        <v>2.63</v>
      </c>
      <c r="E37" s="654"/>
      <c r="F37" s="655"/>
      <c r="G37" s="63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>
        <v>70620060109</v>
      </c>
      <c r="S37" s="633"/>
      <c r="T37" s="633"/>
      <c r="U37" s="636"/>
    </row>
    <row r="38" spans="1:21" x14ac:dyDescent="0.3">
      <c r="A38" s="742"/>
      <c r="B38" s="984"/>
      <c r="C38" s="48">
        <v>2.63</v>
      </c>
      <c r="D38" s="48">
        <v>4.5599999999999996</v>
      </c>
      <c r="E38" s="654"/>
      <c r="F38" s="655"/>
      <c r="G38" s="63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4">
        <v>70620030108</v>
      </c>
      <c r="S38" s="633"/>
      <c r="T38" s="633"/>
      <c r="U38" s="636"/>
    </row>
    <row r="39" spans="1:21" x14ac:dyDescent="0.3">
      <c r="A39" s="742"/>
      <c r="B39" s="984"/>
      <c r="C39" s="48">
        <f>D38</f>
        <v>4.5599999999999996</v>
      </c>
      <c r="D39" s="48">
        <v>5.39</v>
      </c>
      <c r="E39" s="654"/>
      <c r="F39" s="655"/>
      <c r="G39" s="633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>
        <v>70620030106</v>
      </c>
      <c r="S39" s="633"/>
      <c r="T39" s="633"/>
      <c r="U39" s="636"/>
    </row>
    <row r="40" spans="1:21" x14ac:dyDescent="0.3">
      <c r="A40" s="742"/>
      <c r="B40" s="984"/>
      <c r="C40" s="48">
        <f>D39</f>
        <v>5.39</v>
      </c>
      <c r="D40" s="48">
        <v>5.89</v>
      </c>
      <c r="E40" s="654"/>
      <c r="F40" s="655"/>
      <c r="G40" s="633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 t="s">
        <v>1717</v>
      </c>
      <c r="S40" s="633"/>
      <c r="T40" s="633"/>
      <c r="U40" s="636"/>
    </row>
    <row r="41" spans="1:21" x14ac:dyDescent="0.3">
      <c r="A41" s="742"/>
      <c r="B41" s="984"/>
      <c r="C41" s="48">
        <f>D40</f>
        <v>5.89</v>
      </c>
      <c r="D41" s="48">
        <v>7.51</v>
      </c>
      <c r="E41" s="654"/>
      <c r="F41" s="655"/>
      <c r="G41" s="633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>
        <v>70620030067</v>
      </c>
      <c r="S41" s="633"/>
      <c r="T41" s="633"/>
      <c r="U41" s="636"/>
    </row>
    <row r="42" spans="1:21" x14ac:dyDescent="0.3">
      <c r="A42" s="742"/>
      <c r="B42" s="984"/>
      <c r="C42" s="48">
        <f>D41</f>
        <v>7.51</v>
      </c>
      <c r="D42" s="48">
        <v>7.65</v>
      </c>
      <c r="E42" s="654"/>
      <c r="F42" s="655"/>
      <c r="G42" s="63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>
        <v>70620020081</v>
      </c>
      <c r="S42" s="633"/>
      <c r="T42" s="633"/>
      <c r="U42" s="636"/>
    </row>
    <row r="43" spans="1:21" ht="15" thickBot="1" x14ac:dyDescent="0.35">
      <c r="A43" s="644"/>
      <c r="B43" s="985"/>
      <c r="C43" s="540">
        <f>D42</f>
        <v>7.65</v>
      </c>
      <c r="D43" s="540">
        <v>8.16</v>
      </c>
      <c r="E43" s="646"/>
      <c r="F43" s="648"/>
      <c r="G43" s="634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>
        <v>70620030068</v>
      </c>
      <c r="S43" s="634"/>
      <c r="T43" s="634"/>
      <c r="U43" s="637"/>
    </row>
    <row r="44" spans="1:21" ht="14.4" customHeight="1" x14ac:dyDescent="0.3">
      <c r="A44" s="643" t="s">
        <v>1718</v>
      </c>
      <c r="B44" s="983" t="s">
        <v>1719</v>
      </c>
      <c r="C44" s="43">
        <v>0</v>
      </c>
      <c r="D44" s="43">
        <v>0.84</v>
      </c>
      <c r="E44" s="645">
        <v>2.83</v>
      </c>
      <c r="F44" s="647">
        <v>14150</v>
      </c>
      <c r="G44" s="641" t="s">
        <v>368</v>
      </c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>
        <v>70620060105</v>
      </c>
      <c r="S44" s="641"/>
      <c r="T44" s="641" t="s">
        <v>1690</v>
      </c>
      <c r="U44" s="744"/>
    </row>
    <row r="45" spans="1:21" x14ac:dyDescent="0.3">
      <c r="A45" s="742"/>
      <c r="B45" s="984"/>
      <c r="C45" s="48">
        <v>0.84</v>
      </c>
      <c r="D45" s="48">
        <v>1.08</v>
      </c>
      <c r="E45" s="654"/>
      <c r="F45" s="655"/>
      <c r="G45" s="633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 t="s">
        <v>1720</v>
      </c>
      <c r="S45" s="633"/>
      <c r="T45" s="633"/>
      <c r="U45" s="750"/>
    </row>
    <row r="46" spans="1:21" x14ac:dyDescent="0.3">
      <c r="A46" s="742"/>
      <c r="B46" s="984"/>
      <c r="C46" s="48">
        <v>1.08</v>
      </c>
      <c r="D46" s="48">
        <v>1.19</v>
      </c>
      <c r="E46" s="654"/>
      <c r="F46" s="655"/>
      <c r="G46" s="633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3" t="s">
        <v>1721</v>
      </c>
      <c r="S46" s="633"/>
      <c r="T46" s="633"/>
      <c r="U46" s="750"/>
    </row>
    <row r="47" spans="1:21" x14ac:dyDescent="0.3">
      <c r="A47" s="742"/>
      <c r="B47" s="984"/>
      <c r="C47" s="48">
        <v>1.19</v>
      </c>
      <c r="D47" s="48">
        <v>1.38</v>
      </c>
      <c r="E47" s="654"/>
      <c r="F47" s="655"/>
      <c r="G47" s="63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 t="s">
        <v>1722</v>
      </c>
      <c r="S47" s="633"/>
      <c r="T47" s="633"/>
      <c r="U47" s="750"/>
    </row>
    <row r="48" spans="1:21" x14ac:dyDescent="0.3">
      <c r="A48" s="742"/>
      <c r="B48" s="984"/>
      <c r="C48" s="48">
        <v>1.38</v>
      </c>
      <c r="D48" s="48">
        <v>1.65</v>
      </c>
      <c r="E48" s="654"/>
      <c r="F48" s="655"/>
      <c r="G48" s="63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 t="s">
        <v>1723</v>
      </c>
      <c r="S48" s="633"/>
      <c r="T48" s="633"/>
      <c r="U48" s="750"/>
    </row>
    <row r="49" spans="1:21" x14ac:dyDescent="0.3">
      <c r="A49" s="742"/>
      <c r="B49" s="984"/>
      <c r="C49" s="654">
        <v>1.65</v>
      </c>
      <c r="D49" s="654">
        <v>2.67</v>
      </c>
      <c r="E49" s="654"/>
      <c r="F49" s="655"/>
      <c r="G49" s="63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>
        <v>70620060173</v>
      </c>
      <c r="S49" s="633"/>
      <c r="T49" s="633"/>
      <c r="U49" s="750"/>
    </row>
    <row r="50" spans="1:21" x14ac:dyDescent="0.3">
      <c r="A50" s="742"/>
      <c r="B50" s="984"/>
      <c r="C50" s="654"/>
      <c r="D50" s="654"/>
      <c r="E50" s="654"/>
      <c r="F50" s="655"/>
      <c r="G50" s="63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4" t="s">
        <v>1724</v>
      </c>
      <c r="S50" s="633"/>
      <c r="T50" s="633"/>
      <c r="U50" s="750"/>
    </row>
    <row r="51" spans="1:21" x14ac:dyDescent="0.3">
      <c r="A51" s="742"/>
      <c r="B51" s="984"/>
      <c r="C51" s="654"/>
      <c r="D51" s="654"/>
      <c r="E51" s="654"/>
      <c r="F51" s="655"/>
      <c r="G51" s="63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>
        <v>70620060066</v>
      </c>
      <c r="S51" s="633"/>
      <c r="T51" s="633"/>
      <c r="U51" s="750"/>
    </row>
    <row r="52" spans="1:21" ht="15" thickBot="1" x14ac:dyDescent="0.35">
      <c r="A52" s="644"/>
      <c r="B52" s="985"/>
      <c r="C52" s="46">
        <v>2.67</v>
      </c>
      <c r="D52" s="46">
        <v>2.83</v>
      </c>
      <c r="E52" s="646"/>
      <c r="F52" s="648"/>
      <c r="G52" s="634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 t="s">
        <v>1725</v>
      </c>
      <c r="S52" s="634"/>
      <c r="T52" s="634"/>
      <c r="U52" s="745"/>
    </row>
    <row r="53" spans="1:21" ht="14.4" customHeight="1" x14ac:dyDescent="0.3">
      <c r="A53" s="643" t="s">
        <v>1726</v>
      </c>
      <c r="B53" s="983" t="s">
        <v>1727</v>
      </c>
      <c r="C53" s="43">
        <v>0</v>
      </c>
      <c r="D53" s="43">
        <v>1.42</v>
      </c>
      <c r="E53" s="645">
        <v>3.04</v>
      </c>
      <c r="F53" s="647">
        <v>15195</v>
      </c>
      <c r="G53" s="641" t="s">
        <v>368</v>
      </c>
      <c r="H53" s="33"/>
      <c r="I53" s="33">
        <v>0.5</v>
      </c>
      <c r="J53" s="34" t="s">
        <v>1728</v>
      </c>
      <c r="K53" s="33">
        <v>18.100000000000001</v>
      </c>
      <c r="L53" s="33">
        <v>90.5</v>
      </c>
      <c r="M53" s="33"/>
      <c r="N53" s="33"/>
      <c r="O53" s="33"/>
      <c r="P53" s="33"/>
      <c r="Q53" s="33"/>
      <c r="R53" s="33">
        <v>70620090120</v>
      </c>
      <c r="S53" s="641"/>
      <c r="T53" s="641" t="s">
        <v>1690</v>
      </c>
      <c r="U53" s="744"/>
    </row>
    <row r="54" spans="1:21" x14ac:dyDescent="0.3">
      <c r="A54" s="742"/>
      <c r="B54" s="984"/>
      <c r="C54" s="48">
        <v>1.42</v>
      </c>
      <c r="D54" s="48">
        <v>1.55</v>
      </c>
      <c r="E54" s="654"/>
      <c r="F54" s="655"/>
      <c r="G54" s="63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>
        <v>70620090151</v>
      </c>
      <c r="S54" s="633"/>
      <c r="T54" s="633"/>
      <c r="U54" s="750"/>
    </row>
    <row r="55" spans="1:21" x14ac:dyDescent="0.3">
      <c r="A55" s="742"/>
      <c r="B55" s="984"/>
      <c r="C55" s="48">
        <v>1.55</v>
      </c>
      <c r="D55" s="48">
        <v>1.8</v>
      </c>
      <c r="E55" s="654"/>
      <c r="F55" s="655"/>
      <c r="G55" s="63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4" t="s">
        <v>1729</v>
      </c>
      <c r="S55" s="633"/>
      <c r="T55" s="633"/>
      <c r="U55" s="750"/>
    </row>
    <row r="56" spans="1:21" x14ac:dyDescent="0.3">
      <c r="A56" s="742"/>
      <c r="B56" s="984"/>
      <c r="C56" s="48">
        <v>1.8</v>
      </c>
      <c r="D56" s="48">
        <v>2.0299999999999998</v>
      </c>
      <c r="E56" s="654"/>
      <c r="F56" s="655"/>
      <c r="G56" s="63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 t="s">
        <v>1730</v>
      </c>
      <c r="S56" s="633"/>
      <c r="T56" s="633"/>
      <c r="U56" s="750"/>
    </row>
    <row r="57" spans="1:21" x14ac:dyDescent="0.3">
      <c r="A57" s="742"/>
      <c r="B57" s="984"/>
      <c r="C57" s="48">
        <v>2.0299999999999998</v>
      </c>
      <c r="D57" s="48">
        <v>2.31</v>
      </c>
      <c r="E57" s="654"/>
      <c r="F57" s="655"/>
      <c r="G57" s="63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4" t="s">
        <v>1731</v>
      </c>
      <c r="S57" s="633"/>
      <c r="T57" s="633"/>
      <c r="U57" s="750"/>
    </row>
    <row r="58" spans="1:21" ht="15" thickBot="1" x14ac:dyDescent="0.35">
      <c r="A58" s="644"/>
      <c r="B58" s="985"/>
      <c r="C58" s="46">
        <v>2.31</v>
      </c>
      <c r="D58" s="46">
        <v>3.04</v>
      </c>
      <c r="E58" s="646"/>
      <c r="F58" s="648"/>
      <c r="G58" s="634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20">
        <v>70620060130</v>
      </c>
      <c r="S58" s="634"/>
      <c r="T58" s="634"/>
      <c r="U58" s="745"/>
    </row>
    <row r="59" spans="1:21" ht="14.4" customHeight="1" x14ac:dyDescent="0.3">
      <c r="A59" s="604" t="s">
        <v>1732</v>
      </c>
      <c r="B59" s="983" t="s">
        <v>1733</v>
      </c>
      <c r="C59" s="694">
        <v>0</v>
      </c>
      <c r="D59" s="694">
        <v>3.96</v>
      </c>
      <c r="E59" s="694">
        <v>3.96</v>
      </c>
      <c r="F59" s="723">
        <v>15829</v>
      </c>
      <c r="G59" s="641" t="s">
        <v>368</v>
      </c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4" t="s">
        <v>1734</v>
      </c>
      <c r="S59" s="641"/>
      <c r="T59" s="641" t="s">
        <v>1690</v>
      </c>
      <c r="U59" s="744"/>
    </row>
    <row r="60" spans="1:21" x14ac:dyDescent="0.3">
      <c r="A60" s="605"/>
      <c r="B60" s="984"/>
      <c r="C60" s="695"/>
      <c r="D60" s="695"/>
      <c r="E60" s="695"/>
      <c r="F60" s="712"/>
      <c r="G60" s="633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3" t="s">
        <v>1735</v>
      </c>
      <c r="S60" s="633"/>
      <c r="T60" s="633"/>
      <c r="U60" s="750"/>
    </row>
    <row r="61" spans="1:21" x14ac:dyDescent="0.3">
      <c r="A61" s="605"/>
      <c r="B61" s="984"/>
      <c r="C61" s="695"/>
      <c r="D61" s="695"/>
      <c r="E61" s="695"/>
      <c r="F61" s="712"/>
      <c r="G61" s="63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3" t="s">
        <v>1736</v>
      </c>
      <c r="S61" s="633"/>
      <c r="T61" s="633"/>
      <c r="U61" s="750"/>
    </row>
    <row r="62" spans="1:21" x14ac:dyDescent="0.3">
      <c r="A62" s="605"/>
      <c r="B62" s="984"/>
      <c r="C62" s="695"/>
      <c r="D62" s="695"/>
      <c r="E62" s="695"/>
      <c r="F62" s="712"/>
      <c r="G62" s="633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3" t="s">
        <v>1737</v>
      </c>
      <c r="S62" s="633"/>
      <c r="T62" s="633"/>
      <c r="U62" s="750"/>
    </row>
    <row r="63" spans="1:21" x14ac:dyDescent="0.3">
      <c r="A63" s="605"/>
      <c r="B63" s="984"/>
      <c r="C63" s="695"/>
      <c r="D63" s="695"/>
      <c r="E63" s="695"/>
      <c r="F63" s="712"/>
      <c r="G63" s="633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3" t="s">
        <v>1738</v>
      </c>
      <c r="S63" s="633"/>
      <c r="T63" s="633"/>
      <c r="U63" s="750"/>
    </row>
    <row r="64" spans="1:21" x14ac:dyDescent="0.3">
      <c r="A64" s="605"/>
      <c r="B64" s="984"/>
      <c r="C64" s="695"/>
      <c r="D64" s="695"/>
      <c r="E64" s="695"/>
      <c r="F64" s="712"/>
      <c r="G64" s="633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3" t="s">
        <v>1739</v>
      </c>
      <c r="S64" s="633"/>
      <c r="T64" s="633"/>
      <c r="U64" s="750"/>
    </row>
    <row r="65" spans="1:21" x14ac:dyDescent="0.3">
      <c r="A65" s="605"/>
      <c r="B65" s="984"/>
      <c r="C65" s="695"/>
      <c r="D65" s="695"/>
      <c r="E65" s="695"/>
      <c r="F65" s="712"/>
      <c r="G65" s="633"/>
      <c r="H65" s="14"/>
      <c r="I65" s="13"/>
      <c r="J65" s="13"/>
      <c r="K65" s="13"/>
      <c r="L65" s="13"/>
      <c r="M65" s="13"/>
      <c r="N65" s="13"/>
      <c r="O65" s="13"/>
      <c r="P65" s="13"/>
      <c r="Q65" s="13"/>
      <c r="R65" s="13" t="s">
        <v>1740</v>
      </c>
      <c r="S65" s="633"/>
      <c r="T65" s="633"/>
      <c r="U65" s="750"/>
    </row>
    <row r="66" spans="1:21" x14ac:dyDescent="0.3">
      <c r="A66" s="605"/>
      <c r="B66" s="984"/>
      <c r="C66" s="695"/>
      <c r="D66" s="695"/>
      <c r="E66" s="695"/>
      <c r="F66" s="712"/>
      <c r="G66" s="633"/>
      <c r="H66" s="14"/>
      <c r="I66" s="13"/>
      <c r="J66" s="13"/>
      <c r="K66" s="13"/>
      <c r="L66" s="13"/>
      <c r="M66" s="13"/>
      <c r="N66" s="13"/>
      <c r="O66" s="13"/>
      <c r="P66" s="13"/>
      <c r="Q66" s="13"/>
      <c r="R66" s="13" t="s">
        <v>1741</v>
      </c>
      <c r="S66" s="633"/>
      <c r="T66" s="633"/>
      <c r="U66" s="750"/>
    </row>
    <row r="67" spans="1:21" x14ac:dyDescent="0.3">
      <c r="A67" s="605"/>
      <c r="B67" s="984"/>
      <c r="C67" s="695"/>
      <c r="D67" s="695"/>
      <c r="E67" s="695"/>
      <c r="F67" s="712"/>
      <c r="G67" s="633"/>
      <c r="H67" s="14"/>
      <c r="I67" s="13"/>
      <c r="J67" s="13"/>
      <c r="K67" s="13"/>
      <c r="L67" s="13"/>
      <c r="M67" s="13"/>
      <c r="N67" s="13"/>
      <c r="O67" s="13"/>
      <c r="P67" s="13"/>
      <c r="Q67" s="13"/>
      <c r="R67" s="13" t="s">
        <v>1742</v>
      </c>
      <c r="S67" s="633"/>
      <c r="T67" s="633"/>
      <c r="U67" s="750"/>
    </row>
    <row r="68" spans="1:21" x14ac:dyDescent="0.3">
      <c r="A68" s="605"/>
      <c r="B68" s="984"/>
      <c r="C68" s="695"/>
      <c r="D68" s="695"/>
      <c r="E68" s="695"/>
      <c r="F68" s="712"/>
      <c r="G68" s="633"/>
      <c r="H68" s="14"/>
      <c r="I68" s="13"/>
      <c r="J68" s="13"/>
      <c r="K68" s="13"/>
      <c r="L68" s="13"/>
      <c r="M68" s="13"/>
      <c r="N68" s="13"/>
      <c r="O68" s="13"/>
      <c r="P68" s="13"/>
      <c r="Q68" s="13"/>
      <c r="R68" s="13" t="s">
        <v>1743</v>
      </c>
      <c r="S68" s="633"/>
      <c r="T68" s="633"/>
      <c r="U68" s="750"/>
    </row>
    <row r="69" spans="1:21" x14ac:dyDescent="0.3">
      <c r="A69" s="605"/>
      <c r="B69" s="984"/>
      <c r="C69" s="695"/>
      <c r="D69" s="695"/>
      <c r="E69" s="695"/>
      <c r="F69" s="712"/>
      <c r="G69" s="633"/>
      <c r="H69" s="14"/>
      <c r="I69" s="13"/>
      <c r="J69" s="13"/>
      <c r="K69" s="13"/>
      <c r="L69" s="13"/>
      <c r="M69" s="13"/>
      <c r="N69" s="13"/>
      <c r="O69" s="13"/>
      <c r="P69" s="13"/>
      <c r="Q69" s="13"/>
      <c r="R69" s="13" t="s">
        <v>1744</v>
      </c>
      <c r="S69" s="633"/>
      <c r="T69" s="633"/>
      <c r="U69" s="750"/>
    </row>
    <row r="70" spans="1:21" x14ac:dyDescent="0.3">
      <c r="A70" s="605"/>
      <c r="B70" s="984"/>
      <c r="C70" s="695"/>
      <c r="D70" s="695"/>
      <c r="E70" s="695"/>
      <c r="F70" s="712"/>
      <c r="G70" s="633"/>
      <c r="H70" s="14"/>
      <c r="I70" s="13"/>
      <c r="J70" s="13"/>
      <c r="K70" s="13"/>
      <c r="L70" s="13"/>
      <c r="M70" s="13"/>
      <c r="N70" s="13"/>
      <c r="O70" s="13"/>
      <c r="P70" s="13"/>
      <c r="Q70" s="13"/>
      <c r="R70" s="13">
        <v>70620030096</v>
      </c>
      <c r="S70" s="633"/>
      <c r="T70" s="633"/>
      <c r="U70" s="750"/>
    </row>
    <row r="71" spans="1:21" ht="15" customHeight="1" x14ac:dyDescent="0.3">
      <c r="A71" s="605"/>
      <c r="B71" s="984"/>
      <c r="C71" s="695"/>
      <c r="D71" s="695"/>
      <c r="E71" s="695"/>
      <c r="F71" s="712"/>
      <c r="G71" s="63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 t="s">
        <v>1745</v>
      </c>
      <c r="S71" s="633"/>
      <c r="T71" s="633"/>
      <c r="U71" s="750"/>
    </row>
    <row r="72" spans="1:21" ht="15" customHeight="1" x14ac:dyDescent="0.3">
      <c r="A72" s="605"/>
      <c r="B72" s="984"/>
      <c r="C72" s="695"/>
      <c r="D72" s="695"/>
      <c r="E72" s="695"/>
      <c r="F72" s="712"/>
      <c r="G72" s="63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 t="s">
        <v>1746</v>
      </c>
      <c r="S72" s="633"/>
      <c r="T72" s="633"/>
      <c r="U72" s="750"/>
    </row>
    <row r="73" spans="1:21" x14ac:dyDescent="0.3">
      <c r="A73" s="605"/>
      <c r="B73" s="984"/>
      <c r="C73" s="695"/>
      <c r="D73" s="695"/>
      <c r="E73" s="695"/>
      <c r="F73" s="712"/>
      <c r="G73" s="63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 t="s">
        <v>1747</v>
      </c>
      <c r="S73" s="633"/>
      <c r="T73" s="633"/>
      <c r="U73" s="750"/>
    </row>
    <row r="74" spans="1:21" x14ac:dyDescent="0.3">
      <c r="A74" s="605"/>
      <c r="B74" s="984"/>
      <c r="C74" s="695"/>
      <c r="D74" s="695"/>
      <c r="E74" s="695"/>
      <c r="F74" s="712"/>
      <c r="G74" s="63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 t="s">
        <v>1748</v>
      </c>
      <c r="S74" s="633"/>
      <c r="T74" s="633"/>
      <c r="U74" s="750"/>
    </row>
    <row r="75" spans="1:21" x14ac:dyDescent="0.3">
      <c r="A75" s="605"/>
      <c r="B75" s="984"/>
      <c r="C75" s="695"/>
      <c r="D75" s="695"/>
      <c r="E75" s="695"/>
      <c r="F75" s="712"/>
      <c r="G75" s="63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 t="s">
        <v>1749</v>
      </c>
      <c r="S75" s="633"/>
      <c r="T75" s="633"/>
      <c r="U75" s="750"/>
    </row>
    <row r="76" spans="1:21" x14ac:dyDescent="0.3">
      <c r="A76" s="605"/>
      <c r="B76" s="984"/>
      <c r="C76" s="695"/>
      <c r="D76" s="695"/>
      <c r="E76" s="695"/>
      <c r="F76" s="712"/>
      <c r="G76" s="63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 t="s">
        <v>1750</v>
      </c>
      <c r="S76" s="633"/>
      <c r="T76" s="633"/>
      <c r="U76" s="750"/>
    </row>
    <row r="77" spans="1:21" x14ac:dyDescent="0.3">
      <c r="A77" s="605"/>
      <c r="B77" s="984"/>
      <c r="C77" s="695"/>
      <c r="D77" s="695"/>
      <c r="E77" s="695"/>
      <c r="F77" s="712"/>
      <c r="G77" s="633"/>
      <c r="H77" s="13"/>
      <c r="I77" s="13"/>
      <c r="J77" s="347"/>
      <c r="K77" s="13"/>
      <c r="L77" s="13"/>
      <c r="M77" s="13"/>
      <c r="N77" s="13"/>
      <c r="O77" s="13"/>
      <c r="P77" s="13"/>
      <c r="Q77" s="13"/>
      <c r="R77" s="13" t="s">
        <v>1751</v>
      </c>
      <c r="S77" s="633"/>
      <c r="T77" s="633"/>
      <c r="U77" s="750"/>
    </row>
    <row r="78" spans="1:21" x14ac:dyDescent="0.3">
      <c r="A78" s="605"/>
      <c r="B78" s="984"/>
      <c r="C78" s="695"/>
      <c r="D78" s="695"/>
      <c r="E78" s="695"/>
      <c r="F78" s="712"/>
      <c r="G78" s="63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 t="s">
        <v>1752</v>
      </c>
      <c r="S78" s="633"/>
      <c r="T78" s="633"/>
      <c r="U78" s="750"/>
    </row>
    <row r="79" spans="1:21" x14ac:dyDescent="0.3">
      <c r="A79" s="605"/>
      <c r="B79" s="984"/>
      <c r="C79" s="695"/>
      <c r="D79" s="695"/>
      <c r="E79" s="695"/>
      <c r="F79" s="712"/>
      <c r="G79" s="63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 t="s">
        <v>1753</v>
      </c>
      <c r="S79" s="633"/>
      <c r="T79" s="633"/>
      <c r="U79" s="750"/>
    </row>
    <row r="80" spans="1:21" ht="14.25" customHeight="1" thickBot="1" x14ac:dyDescent="0.35">
      <c r="A80" s="606"/>
      <c r="B80" s="985"/>
      <c r="C80" s="696"/>
      <c r="D80" s="696"/>
      <c r="E80" s="696"/>
      <c r="F80" s="713"/>
      <c r="G80" s="634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 t="s">
        <v>1754</v>
      </c>
      <c r="S80" s="634"/>
      <c r="T80" s="634"/>
      <c r="U80" s="745"/>
    </row>
    <row r="81" spans="1:21" ht="14.4" customHeight="1" x14ac:dyDescent="0.3">
      <c r="A81" s="604" t="s">
        <v>1755</v>
      </c>
      <c r="B81" s="983" t="s">
        <v>1756</v>
      </c>
      <c r="C81" s="43">
        <v>0</v>
      </c>
      <c r="D81" s="43">
        <v>2.2999999999999998</v>
      </c>
      <c r="E81" s="645">
        <v>5.28</v>
      </c>
      <c r="F81" s="647">
        <v>26375</v>
      </c>
      <c r="G81" s="641" t="s">
        <v>368</v>
      </c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4">
        <v>70620020061</v>
      </c>
      <c r="S81" s="641"/>
      <c r="T81" s="641" t="s">
        <v>1690</v>
      </c>
      <c r="U81" s="642" t="s">
        <v>67</v>
      </c>
    </row>
    <row r="82" spans="1:21" ht="18" customHeight="1" x14ac:dyDescent="0.3">
      <c r="A82" s="605"/>
      <c r="B82" s="984"/>
      <c r="C82" s="48">
        <v>2.2999999999999998</v>
      </c>
      <c r="D82" s="48">
        <v>3.78</v>
      </c>
      <c r="E82" s="654"/>
      <c r="F82" s="655"/>
      <c r="G82" s="633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3">
        <v>70620020025</v>
      </c>
      <c r="S82" s="633"/>
      <c r="T82" s="633"/>
      <c r="U82" s="636"/>
    </row>
    <row r="83" spans="1:21" x14ac:dyDescent="0.3">
      <c r="A83" s="605"/>
      <c r="B83" s="984"/>
      <c r="C83" s="48">
        <v>3.78</v>
      </c>
      <c r="D83" s="48">
        <v>4.66</v>
      </c>
      <c r="E83" s="654"/>
      <c r="F83" s="655"/>
      <c r="G83" s="633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3">
        <v>70620020080</v>
      </c>
      <c r="S83" s="633"/>
      <c r="T83" s="633"/>
      <c r="U83" s="636"/>
    </row>
    <row r="84" spans="1:21" ht="15" thickBot="1" x14ac:dyDescent="0.35">
      <c r="A84" s="606"/>
      <c r="B84" s="985"/>
      <c r="C84" s="46">
        <v>4.66</v>
      </c>
      <c r="D84" s="46">
        <v>5.28</v>
      </c>
      <c r="E84" s="646"/>
      <c r="F84" s="648"/>
      <c r="G84" s="634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19" t="s">
        <v>1757</v>
      </c>
      <c r="S84" s="634"/>
      <c r="T84" s="634"/>
      <c r="U84" s="637"/>
    </row>
    <row r="85" spans="1:21" ht="14.4" customHeight="1" x14ac:dyDescent="0.3">
      <c r="A85" s="604" t="s">
        <v>1758</v>
      </c>
      <c r="B85" s="983" t="s">
        <v>1759</v>
      </c>
      <c r="C85" s="43">
        <v>0</v>
      </c>
      <c r="D85" s="43">
        <v>0.51</v>
      </c>
      <c r="E85" s="645">
        <v>0.68</v>
      </c>
      <c r="F85" s="647">
        <v>2720</v>
      </c>
      <c r="G85" s="641" t="s">
        <v>368</v>
      </c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4" t="s">
        <v>1760</v>
      </c>
      <c r="S85" s="641"/>
      <c r="T85" s="641" t="s">
        <v>1690</v>
      </c>
      <c r="U85" s="744"/>
    </row>
    <row r="86" spans="1:21" ht="40.950000000000003" customHeight="1" thickBot="1" x14ac:dyDescent="0.35">
      <c r="A86" s="606"/>
      <c r="B86" s="985"/>
      <c r="C86" s="46">
        <v>0.51</v>
      </c>
      <c r="D86" s="46">
        <v>0.68</v>
      </c>
      <c r="E86" s="646"/>
      <c r="F86" s="648"/>
      <c r="G86" s="634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19" t="s">
        <v>1761</v>
      </c>
      <c r="S86" s="634"/>
      <c r="T86" s="634"/>
      <c r="U86" s="745"/>
    </row>
    <row r="87" spans="1:21" ht="24" customHeight="1" x14ac:dyDescent="0.3">
      <c r="A87" s="643" t="s">
        <v>1762</v>
      </c>
      <c r="B87" s="983" t="s">
        <v>1763</v>
      </c>
      <c r="C87" s="43">
        <v>0</v>
      </c>
      <c r="D87" s="43">
        <v>1.03</v>
      </c>
      <c r="E87" s="645">
        <v>8.06</v>
      </c>
      <c r="F87" s="647">
        <v>48360</v>
      </c>
      <c r="G87" s="641" t="s">
        <v>368</v>
      </c>
      <c r="H87" s="33"/>
      <c r="I87" s="34">
        <v>1.1000000000000001</v>
      </c>
      <c r="J87" s="348" t="s">
        <v>1764</v>
      </c>
      <c r="K87" s="34">
        <v>10</v>
      </c>
      <c r="L87" s="34">
        <v>60</v>
      </c>
      <c r="M87" s="33"/>
      <c r="N87" s="33"/>
      <c r="O87" s="33"/>
      <c r="P87" s="33"/>
      <c r="Q87" s="33"/>
      <c r="R87" s="34">
        <v>70620020079</v>
      </c>
      <c r="S87" s="641"/>
      <c r="T87" s="641" t="s">
        <v>1690</v>
      </c>
      <c r="U87" s="744"/>
    </row>
    <row r="88" spans="1:21" x14ac:dyDescent="0.3">
      <c r="A88" s="742"/>
      <c r="B88" s="984"/>
      <c r="C88" s="48">
        <v>1.03</v>
      </c>
      <c r="D88" s="48">
        <v>1.48</v>
      </c>
      <c r="E88" s="654"/>
      <c r="F88" s="655"/>
      <c r="G88" s="633"/>
      <c r="H88" s="13"/>
      <c r="I88" s="13"/>
      <c r="J88" s="347"/>
      <c r="K88" s="13"/>
      <c r="L88" s="13"/>
      <c r="M88" s="13"/>
      <c r="N88" s="13"/>
      <c r="O88" s="13"/>
      <c r="P88" s="13"/>
      <c r="Q88" s="13"/>
      <c r="R88" s="14">
        <v>70620010060</v>
      </c>
      <c r="S88" s="633"/>
      <c r="T88" s="633"/>
      <c r="U88" s="750"/>
    </row>
    <row r="89" spans="1:21" x14ac:dyDescent="0.3">
      <c r="A89" s="742"/>
      <c r="B89" s="984"/>
      <c r="C89" s="48">
        <v>1.48</v>
      </c>
      <c r="D89" s="48">
        <v>2.4</v>
      </c>
      <c r="E89" s="654"/>
      <c r="F89" s="655"/>
      <c r="G89" s="63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 t="s">
        <v>1765</v>
      </c>
      <c r="S89" s="633"/>
      <c r="T89" s="633"/>
      <c r="U89" s="750"/>
    </row>
    <row r="90" spans="1:21" x14ac:dyDescent="0.3">
      <c r="A90" s="742"/>
      <c r="B90" s="984"/>
      <c r="C90" s="48">
        <v>2.4</v>
      </c>
      <c r="D90" s="48">
        <v>5.44</v>
      </c>
      <c r="E90" s="654"/>
      <c r="F90" s="655"/>
      <c r="G90" s="63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>
        <v>70620010037</v>
      </c>
      <c r="S90" s="633"/>
      <c r="T90" s="633"/>
      <c r="U90" s="750"/>
    </row>
    <row r="91" spans="1:21" x14ac:dyDescent="0.3">
      <c r="A91" s="742"/>
      <c r="B91" s="984"/>
      <c r="C91" s="48">
        <v>5.44</v>
      </c>
      <c r="D91" s="48">
        <v>5.64</v>
      </c>
      <c r="E91" s="654"/>
      <c r="F91" s="655"/>
      <c r="G91" s="63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>
        <v>70620010067</v>
      </c>
      <c r="S91" s="633"/>
      <c r="T91" s="633"/>
      <c r="U91" s="750"/>
    </row>
    <row r="92" spans="1:21" x14ac:dyDescent="0.3">
      <c r="A92" s="742"/>
      <c r="B92" s="984"/>
      <c r="C92" s="48">
        <v>5.64</v>
      </c>
      <c r="D92" s="48">
        <v>5.9</v>
      </c>
      <c r="E92" s="654"/>
      <c r="F92" s="655"/>
      <c r="G92" s="633"/>
      <c r="H92" s="13"/>
      <c r="I92" s="13"/>
      <c r="J92" s="347"/>
      <c r="K92" s="13"/>
      <c r="L92" s="13"/>
      <c r="M92" s="13"/>
      <c r="N92" s="13"/>
      <c r="O92" s="13"/>
      <c r="P92" s="13"/>
      <c r="Q92" s="13"/>
      <c r="R92" s="13">
        <v>70620010040</v>
      </c>
      <c r="S92" s="633"/>
      <c r="T92" s="633"/>
      <c r="U92" s="750"/>
    </row>
    <row r="93" spans="1:21" x14ac:dyDescent="0.3">
      <c r="A93" s="742"/>
      <c r="B93" s="984"/>
      <c r="C93" s="48">
        <v>5.9</v>
      </c>
      <c r="D93" s="48">
        <v>6.26</v>
      </c>
      <c r="E93" s="654"/>
      <c r="F93" s="655"/>
      <c r="G93" s="633"/>
      <c r="H93" s="13"/>
      <c r="I93" s="13"/>
      <c r="J93" s="347"/>
      <c r="K93" s="13"/>
      <c r="L93" s="13"/>
      <c r="M93" s="13"/>
      <c r="N93" s="13"/>
      <c r="O93" s="13"/>
      <c r="P93" s="13"/>
      <c r="Q93" s="13"/>
      <c r="R93" s="13">
        <v>70620010058</v>
      </c>
      <c r="S93" s="633"/>
      <c r="T93" s="633"/>
      <c r="U93" s="750"/>
    </row>
    <row r="94" spans="1:21" x14ac:dyDescent="0.3">
      <c r="A94" s="742"/>
      <c r="B94" s="984"/>
      <c r="C94" s="654">
        <v>6.26</v>
      </c>
      <c r="D94" s="654">
        <v>7.71</v>
      </c>
      <c r="E94" s="654"/>
      <c r="F94" s="655"/>
      <c r="G94" s="63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>
        <v>70620050108</v>
      </c>
      <c r="S94" s="633"/>
      <c r="T94" s="633"/>
      <c r="U94" s="750"/>
    </row>
    <row r="95" spans="1:21" x14ac:dyDescent="0.3">
      <c r="A95" s="742"/>
      <c r="B95" s="984"/>
      <c r="C95" s="654"/>
      <c r="D95" s="654"/>
      <c r="E95" s="654"/>
      <c r="F95" s="655"/>
      <c r="G95" s="63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>
        <v>70620050144</v>
      </c>
      <c r="S95" s="633"/>
      <c r="T95" s="633"/>
      <c r="U95" s="750"/>
    </row>
    <row r="96" spans="1:21" x14ac:dyDescent="0.3">
      <c r="A96" s="742"/>
      <c r="B96" s="984"/>
      <c r="C96" s="654"/>
      <c r="D96" s="654"/>
      <c r="E96" s="654"/>
      <c r="F96" s="655"/>
      <c r="G96" s="63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 t="s">
        <v>1766</v>
      </c>
      <c r="S96" s="633"/>
      <c r="T96" s="633"/>
      <c r="U96" s="750"/>
    </row>
    <row r="97" spans="1:21" x14ac:dyDescent="0.3">
      <c r="A97" s="742"/>
      <c r="B97" s="984"/>
      <c r="C97" s="654">
        <v>7.71</v>
      </c>
      <c r="D97" s="654">
        <v>8.06</v>
      </c>
      <c r="E97" s="654"/>
      <c r="F97" s="655"/>
      <c r="G97" s="63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>
        <v>70620050171</v>
      </c>
      <c r="S97" s="633"/>
      <c r="T97" s="633"/>
      <c r="U97" s="750"/>
    </row>
    <row r="98" spans="1:21" ht="15" thickBot="1" x14ac:dyDescent="0.35">
      <c r="A98" s="644"/>
      <c r="B98" s="985"/>
      <c r="C98" s="646"/>
      <c r="D98" s="646"/>
      <c r="E98" s="646"/>
      <c r="F98" s="648"/>
      <c r="G98" s="634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>
        <v>70620050175</v>
      </c>
      <c r="S98" s="634"/>
      <c r="T98" s="634"/>
      <c r="U98" s="745"/>
    </row>
    <row r="99" spans="1:21" ht="14.4" customHeight="1" x14ac:dyDescent="0.3">
      <c r="A99" s="604" t="s">
        <v>1767</v>
      </c>
      <c r="B99" s="983" t="s">
        <v>1768</v>
      </c>
      <c r="C99" s="43">
        <v>0</v>
      </c>
      <c r="D99" s="43">
        <v>0.85</v>
      </c>
      <c r="E99" s="645">
        <v>3.67</v>
      </c>
      <c r="F99" s="647">
        <v>18340</v>
      </c>
      <c r="G99" s="641" t="s">
        <v>368</v>
      </c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4">
        <v>70620080152</v>
      </c>
      <c r="S99" s="641"/>
      <c r="T99" s="641" t="s">
        <v>1690</v>
      </c>
      <c r="U99" s="744"/>
    </row>
    <row r="100" spans="1:21" x14ac:dyDescent="0.3">
      <c r="A100" s="605"/>
      <c r="B100" s="984"/>
      <c r="C100" s="48">
        <v>0.85</v>
      </c>
      <c r="D100" s="48">
        <v>1.5</v>
      </c>
      <c r="E100" s="654"/>
      <c r="F100" s="655"/>
      <c r="G100" s="633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3" t="s">
        <v>1769</v>
      </c>
      <c r="S100" s="633"/>
      <c r="T100" s="633"/>
      <c r="U100" s="750"/>
    </row>
    <row r="101" spans="1:21" x14ac:dyDescent="0.3">
      <c r="A101" s="605"/>
      <c r="B101" s="984"/>
      <c r="C101" s="48">
        <v>1.5</v>
      </c>
      <c r="D101" s="48">
        <v>1.99</v>
      </c>
      <c r="E101" s="654"/>
      <c r="F101" s="655"/>
      <c r="G101" s="633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3">
        <v>70620080143</v>
      </c>
      <c r="S101" s="633"/>
      <c r="T101" s="633"/>
      <c r="U101" s="750"/>
    </row>
    <row r="102" spans="1:21" x14ac:dyDescent="0.3">
      <c r="A102" s="605"/>
      <c r="B102" s="984"/>
      <c r="C102" s="48">
        <v>1.99</v>
      </c>
      <c r="D102" s="48">
        <v>2.96</v>
      </c>
      <c r="E102" s="654"/>
      <c r="F102" s="655"/>
      <c r="G102" s="633"/>
      <c r="H102" s="14"/>
      <c r="I102" s="14"/>
      <c r="J102" s="13"/>
      <c r="K102" s="14"/>
      <c r="L102" s="14"/>
      <c r="M102" s="14"/>
      <c r="N102" s="14"/>
      <c r="O102" s="14"/>
      <c r="P102" s="14"/>
      <c r="Q102" s="14"/>
      <c r="R102" s="13">
        <v>70620070172</v>
      </c>
      <c r="S102" s="633"/>
      <c r="T102" s="633"/>
      <c r="U102" s="750"/>
    </row>
    <row r="103" spans="1:21" x14ac:dyDescent="0.3">
      <c r="A103" s="605"/>
      <c r="B103" s="984"/>
      <c r="C103" s="654">
        <v>2.96</v>
      </c>
      <c r="D103" s="654">
        <v>3.2</v>
      </c>
      <c r="E103" s="654"/>
      <c r="F103" s="655"/>
      <c r="G103" s="633"/>
      <c r="H103" s="14"/>
      <c r="I103" s="14">
        <v>2.6</v>
      </c>
      <c r="J103" s="13" t="s">
        <v>1770</v>
      </c>
      <c r="K103" s="14">
        <v>12.1</v>
      </c>
      <c r="L103" s="14">
        <v>85.91</v>
      </c>
      <c r="M103" s="14"/>
      <c r="N103" s="14"/>
      <c r="O103" s="14"/>
      <c r="P103" s="14"/>
      <c r="Q103" s="14"/>
      <c r="R103" s="13" t="s">
        <v>1771</v>
      </c>
      <c r="S103" s="633"/>
      <c r="T103" s="633"/>
      <c r="U103" s="750"/>
    </row>
    <row r="104" spans="1:21" x14ac:dyDescent="0.3">
      <c r="A104" s="605"/>
      <c r="B104" s="984"/>
      <c r="C104" s="654"/>
      <c r="D104" s="654"/>
      <c r="E104" s="654"/>
      <c r="F104" s="655"/>
      <c r="G104" s="633"/>
      <c r="H104" s="14"/>
      <c r="I104" s="14">
        <v>3</v>
      </c>
      <c r="J104" s="14" t="s">
        <v>1772</v>
      </c>
      <c r="K104" s="14">
        <v>10.1</v>
      </c>
      <c r="L104" s="14">
        <v>71.709999999999994</v>
      </c>
      <c r="M104" s="14"/>
      <c r="N104" s="14"/>
      <c r="O104" s="14"/>
      <c r="P104" s="14"/>
      <c r="Q104" s="14"/>
      <c r="R104" s="13" t="s">
        <v>1773</v>
      </c>
      <c r="S104" s="633"/>
      <c r="T104" s="633"/>
      <c r="U104" s="750"/>
    </row>
    <row r="105" spans="1:21" x14ac:dyDescent="0.3">
      <c r="A105" s="605"/>
      <c r="B105" s="984"/>
      <c r="C105" s="654"/>
      <c r="D105" s="654"/>
      <c r="E105" s="654"/>
      <c r="F105" s="655"/>
      <c r="G105" s="633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3" t="s">
        <v>1774</v>
      </c>
      <c r="S105" s="633"/>
      <c r="T105" s="633"/>
      <c r="U105" s="750"/>
    </row>
    <row r="106" spans="1:21" x14ac:dyDescent="0.3">
      <c r="A106" s="605"/>
      <c r="B106" s="984"/>
      <c r="C106" s="654">
        <v>3.2</v>
      </c>
      <c r="D106" s="654">
        <v>3.67</v>
      </c>
      <c r="E106" s="654"/>
      <c r="F106" s="655"/>
      <c r="G106" s="633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3" t="s">
        <v>1775</v>
      </c>
      <c r="S106" s="633"/>
      <c r="T106" s="633"/>
      <c r="U106" s="750"/>
    </row>
    <row r="107" spans="1:21" x14ac:dyDescent="0.3">
      <c r="A107" s="605"/>
      <c r="B107" s="984"/>
      <c r="C107" s="654"/>
      <c r="D107" s="654"/>
      <c r="E107" s="654"/>
      <c r="F107" s="655"/>
      <c r="G107" s="633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3" t="s">
        <v>1776</v>
      </c>
      <c r="S107" s="633"/>
      <c r="T107" s="633"/>
      <c r="U107" s="750"/>
    </row>
    <row r="108" spans="1:21" x14ac:dyDescent="0.3">
      <c r="A108" s="605"/>
      <c r="B108" s="984"/>
      <c r="C108" s="654"/>
      <c r="D108" s="654"/>
      <c r="E108" s="654"/>
      <c r="F108" s="655"/>
      <c r="G108" s="633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3" t="s">
        <v>1777</v>
      </c>
      <c r="S108" s="633"/>
      <c r="T108" s="633"/>
      <c r="U108" s="750"/>
    </row>
    <row r="109" spans="1:21" ht="15" thickBot="1" x14ac:dyDescent="0.35">
      <c r="A109" s="606"/>
      <c r="B109" s="985"/>
      <c r="C109" s="646"/>
      <c r="D109" s="646"/>
      <c r="E109" s="646"/>
      <c r="F109" s="648"/>
      <c r="G109" s="634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19" t="s">
        <v>1778</v>
      </c>
      <c r="S109" s="634"/>
      <c r="T109" s="634"/>
      <c r="U109" s="745"/>
    </row>
    <row r="110" spans="1:21" ht="14.4" customHeight="1" x14ac:dyDescent="0.3">
      <c r="A110" s="643" t="s">
        <v>1779</v>
      </c>
      <c r="B110" s="607" t="s">
        <v>1780</v>
      </c>
      <c r="C110" s="70">
        <v>0</v>
      </c>
      <c r="D110" s="43">
        <v>0.46</v>
      </c>
      <c r="E110" s="694">
        <v>5.43</v>
      </c>
      <c r="F110" s="647">
        <v>21702</v>
      </c>
      <c r="G110" s="641" t="s">
        <v>368</v>
      </c>
      <c r="H110" s="33"/>
      <c r="I110" s="34"/>
      <c r="J110" s="348"/>
      <c r="K110" s="34"/>
      <c r="L110" s="34"/>
      <c r="M110" s="33"/>
      <c r="N110" s="33"/>
      <c r="O110" s="33"/>
      <c r="P110" s="33"/>
      <c r="Q110" s="33"/>
      <c r="R110" s="34">
        <v>70620050158</v>
      </c>
      <c r="S110" s="641"/>
      <c r="T110" s="641" t="s">
        <v>1690</v>
      </c>
      <c r="U110" s="744"/>
    </row>
    <row r="111" spans="1:21" x14ac:dyDescent="0.3">
      <c r="A111" s="742"/>
      <c r="B111" s="608"/>
      <c r="C111" s="48">
        <v>0.46</v>
      </c>
      <c r="D111" s="48">
        <v>2.27</v>
      </c>
      <c r="E111" s="695"/>
      <c r="F111" s="655"/>
      <c r="G111" s="633"/>
      <c r="H111" s="13"/>
      <c r="I111" s="13"/>
      <c r="J111" s="347"/>
      <c r="K111" s="13"/>
      <c r="L111" s="13"/>
      <c r="M111" s="13"/>
      <c r="N111" s="13"/>
      <c r="O111" s="13"/>
      <c r="P111" s="13"/>
      <c r="Q111" s="13"/>
      <c r="R111" s="13" t="s">
        <v>1781</v>
      </c>
      <c r="S111" s="633"/>
      <c r="T111" s="633"/>
      <c r="U111" s="750"/>
    </row>
    <row r="112" spans="1:21" x14ac:dyDescent="0.3">
      <c r="A112" s="742"/>
      <c r="B112" s="608"/>
      <c r="C112" s="48">
        <v>2.27</v>
      </c>
      <c r="D112" s="48">
        <v>2.31</v>
      </c>
      <c r="E112" s="695"/>
      <c r="F112" s="655"/>
      <c r="G112" s="63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 t="s">
        <v>1782</v>
      </c>
      <c r="S112" s="633"/>
      <c r="T112" s="633"/>
      <c r="U112" s="750"/>
    </row>
    <row r="113" spans="1:21" x14ac:dyDescent="0.3">
      <c r="A113" s="742"/>
      <c r="B113" s="608"/>
      <c r="C113" s="48">
        <v>2.31</v>
      </c>
      <c r="D113" s="48">
        <v>2.4700000000000002</v>
      </c>
      <c r="E113" s="695"/>
      <c r="F113" s="655"/>
      <c r="G113" s="63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 t="s">
        <v>1783</v>
      </c>
      <c r="S113" s="633"/>
      <c r="T113" s="633"/>
      <c r="U113" s="750"/>
    </row>
    <row r="114" spans="1:21" x14ac:dyDescent="0.3">
      <c r="A114" s="742"/>
      <c r="B114" s="608"/>
      <c r="C114" s="48">
        <v>2.4700000000000002</v>
      </c>
      <c r="D114" s="48">
        <v>3.42</v>
      </c>
      <c r="E114" s="695"/>
      <c r="F114" s="655"/>
      <c r="G114" s="633"/>
      <c r="H114" s="13"/>
      <c r="I114" s="13">
        <v>2.4</v>
      </c>
      <c r="J114" s="13" t="s">
        <v>1784</v>
      </c>
      <c r="K114" s="13">
        <v>18.100000000000001</v>
      </c>
      <c r="L114" s="13">
        <v>126.7</v>
      </c>
      <c r="M114" s="13"/>
      <c r="N114" s="13"/>
      <c r="O114" s="13"/>
      <c r="P114" s="13"/>
      <c r="Q114" s="13"/>
      <c r="R114" s="13" t="s">
        <v>1785</v>
      </c>
      <c r="S114" s="633"/>
      <c r="T114" s="633"/>
      <c r="U114" s="750"/>
    </row>
    <row r="115" spans="1:21" x14ac:dyDescent="0.3">
      <c r="A115" s="742"/>
      <c r="B115" s="608"/>
      <c r="C115" s="48">
        <v>3.42</v>
      </c>
      <c r="D115" s="48">
        <v>3.47</v>
      </c>
      <c r="E115" s="695"/>
      <c r="F115" s="655"/>
      <c r="G115" s="63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 t="s">
        <v>1786</v>
      </c>
      <c r="S115" s="633"/>
      <c r="T115" s="633"/>
      <c r="U115" s="750"/>
    </row>
    <row r="116" spans="1:21" ht="15" thickBot="1" x14ac:dyDescent="0.35">
      <c r="A116" s="742"/>
      <c r="B116" s="608"/>
      <c r="C116" s="48">
        <v>3.47</v>
      </c>
      <c r="D116" s="48">
        <v>5.43</v>
      </c>
      <c r="E116" s="696"/>
      <c r="F116" s="655"/>
      <c r="G116" s="63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 t="s">
        <v>1787</v>
      </c>
      <c r="S116" s="633"/>
      <c r="T116" s="633"/>
      <c r="U116" s="750"/>
    </row>
    <row r="117" spans="1:21" ht="48.6" thickBot="1" x14ac:dyDescent="0.35">
      <c r="A117" s="22" t="s">
        <v>1788</v>
      </c>
      <c r="B117" s="344" t="s">
        <v>1789</v>
      </c>
      <c r="C117" s="41">
        <v>0</v>
      </c>
      <c r="D117" s="41">
        <v>1.1599999999999999</v>
      </c>
      <c r="E117" s="41">
        <v>1.1599999999999999</v>
      </c>
      <c r="F117" s="4">
        <v>6984</v>
      </c>
      <c r="G117" s="3" t="s">
        <v>1688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27">
        <v>70620110148</v>
      </c>
      <c r="S117" s="3"/>
      <c r="T117" s="3" t="s">
        <v>1690</v>
      </c>
      <c r="U117" s="110"/>
    </row>
    <row r="118" spans="1:21" ht="14.4" customHeight="1" x14ac:dyDescent="0.3">
      <c r="A118" s="604" t="s">
        <v>1790</v>
      </c>
      <c r="B118" s="983" t="s">
        <v>1791</v>
      </c>
      <c r="C118" s="645">
        <v>0</v>
      </c>
      <c r="D118" s="645">
        <v>3.54</v>
      </c>
      <c r="E118" s="645">
        <v>4.5599999999999996</v>
      </c>
      <c r="F118" s="647">
        <v>22810</v>
      </c>
      <c r="G118" s="641" t="s">
        <v>368</v>
      </c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4">
        <v>70620120046</v>
      </c>
      <c r="S118" s="641"/>
      <c r="T118" s="641" t="s">
        <v>1690</v>
      </c>
      <c r="U118" s="744"/>
    </row>
    <row r="119" spans="1:21" x14ac:dyDescent="0.3">
      <c r="A119" s="605"/>
      <c r="B119" s="984"/>
      <c r="C119" s="654"/>
      <c r="D119" s="654"/>
      <c r="E119" s="654"/>
      <c r="F119" s="655"/>
      <c r="G119" s="633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3" t="s">
        <v>1792</v>
      </c>
      <c r="S119" s="633"/>
      <c r="T119" s="633"/>
      <c r="U119" s="750"/>
    </row>
    <row r="120" spans="1:21" ht="25.95" customHeight="1" thickBot="1" x14ac:dyDescent="0.35">
      <c r="A120" s="606"/>
      <c r="B120" s="985"/>
      <c r="C120" s="46">
        <v>3.54</v>
      </c>
      <c r="D120" s="46">
        <v>4.5599999999999996</v>
      </c>
      <c r="E120" s="646"/>
      <c r="F120" s="648"/>
      <c r="G120" s="634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19">
        <v>70620110185</v>
      </c>
      <c r="S120" s="634"/>
      <c r="T120" s="634"/>
      <c r="U120" s="745"/>
    </row>
    <row r="121" spans="1:21" ht="14.4" customHeight="1" x14ac:dyDescent="0.3">
      <c r="A121" s="604" t="s">
        <v>1793</v>
      </c>
      <c r="B121" s="983" t="s">
        <v>1794</v>
      </c>
      <c r="C121" s="43">
        <v>0</v>
      </c>
      <c r="D121" s="43">
        <v>0.03</v>
      </c>
      <c r="E121" s="645">
        <v>1.23</v>
      </c>
      <c r="F121" s="647">
        <v>4916</v>
      </c>
      <c r="G121" s="641" t="s">
        <v>368</v>
      </c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 t="s">
        <v>1795</v>
      </c>
      <c r="S121" s="641"/>
      <c r="T121" s="641" t="s">
        <v>1690</v>
      </c>
      <c r="U121" s="744"/>
    </row>
    <row r="122" spans="1:21" x14ac:dyDescent="0.3">
      <c r="A122" s="605"/>
      <c r="B122" s="984"/>
      <c r="C122" s="48">
        <v>0.03</v>
      </c>
      <c r="D122" s="48">
        <v>0.2</v>
      </c>
      <c r="E122" s="654"/>
      <c r="F122" s="655"/>
      <c r="G122" s="633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3" t="s">
        <v>1796</v>
      </c>
      <c r="S122" s="633"/>
      <c r="T122" s="633"/>
      <c r="U122" s="750"/>
    </row>
    <row r="123" spans="1:21" x14ac:dyDescent="0.3">
      <c r="A123" s="605"/>
      <c r="B123" s="984"/>
      <c r="C123" s="654">
        <v>0.2</v>
      </c>
      <c r="D123" s="654">
        <v>0.38</v>
      </c>
      <c r="E123" s="654"/>
      <c r="F123" s="655"/>
      <c r="G123" s="633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3" t="s">
        <v>1797</v>
      </c>
      <c r="S123" s="633"/>
      <c r="T123" s="633"/>
      <c r="U123" s="750"/>
    </row>
    <row r="124" spans="1:21" x14ac:dyDescent="0.3">
      <c r="A124" s="605"/>
      <c r="B124" s="984"/>
      <c r="C124" s="654"/>
      <c r="D124" s="654"/>
      <c r="E124" s="654"/>
      <c r="F124" s="655"/>
      <c r="G124" s="633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3" t="s">
        <v>1798</v>
      </c>
      <c r="S124" s="633"/>
      <c r="T124" s="633"/>
      <c r="U124" s="750"/>
    </row>
    <row r="125" spans="1:21" x14ac:dyDescent="0.3">
      <c r="A125" s="605"/>
      <c r="B125" s="984"/>
      <c r="C125" s="48">
        <v>0.38</v>
      </c>
      <c r="D125" s="48">
        <v>0.66</v>
      </c>
      <c r="E125" s="654"/>
      <c r="F125" s="655"/>
      <c r="G125" s="633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3">
        <v>70620050159</v>
      </c>
      <c r="S125" s="633"/>
      <c r="T125" s="633"/>
      <c r="U125" s="750"/>
    </row>
    <row r="126" spans="1:21" x14ac:dyDescent="0.3">
      <c r="A126" s="605"/>
      <c r="B126" s="984"/>
      <c r="C126" s="48">
        <v>0.66</v>
      </c>
      <c r="D126" s="48">
        <v>1.1100000000000001</v>
      </c>
      <c r="E126" s="654"/>
      <c r="F126" s="655"/>
      <c r="G126" s="633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3" t="s">
        <v>1799</v>
      </c>
      <c r="S126" s="633"/>
      <c r="T126" s="633"/>
      <c r="U126" s="750"/>
    </row>
    <row r="127" spans="1:21" ht="15" thickBot="1" x14ac:dyDescent="0.35">
      <c r="A127" s="606"/>
      <c r="B127" s="985"/>
      <c r="C127" s="46">
        <v>1.1100000000000001</v>
      </c>
      <c r="D127" s="46">
        <v>1.23</v>
      </c>
      <c r="E127" s="646"/>
      <c r="F127" s="648"/>
      <c r="G127" s="634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19" t="s">
        <v>1800</v>
      </c>
      <c r="S127" s="634"/>
      <c r="T127" s="634"/>
      <c r="U127" s="745"/>
    </row>
    <row r="128" spans="1:21" ht="14.4" customHeight="1" x14ac:dyDescent="0.3">
      <c r="A128" s="604" t="s">
        <v>1801</v>
      </c>
      <c r="B128" s="983" t="s">
        <v>1802</v>
      </c>
      <c r="C128" s="645">
        <v>0</v>
      </c>
      <c r="D128" s="645">
        <v>0.34</v>
      </c>
      <c r="E128" s="645">
        <v>0.48</v>
      </c>
      <c r="F128" s="647">
        <v>1928</v>
      </c>
      <c r="G128" s="641" t="s">
        <v>368</v>
      </c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4" t="s">
        <v>1803</v>
      </c>
      <c r="S128" s="641"/>
      <c r="T128" s="641" t="s">
        <v>1690</v>
      </c>
      <c r="U128" s="744"/>
    </row>
    <row r="129" spans="1:21" x14ac:dyDescent="0.3">
      <c r="A129" s="605"/>
      <c r="B129" s="984"/>
      <c r="C129" s="654"/>
      <c r="D129" s="654"/>
      <c r="E129" s="654"/>
      <c r="F129" s="655"/>
      <c r="G129" s="633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3" t="s">
        <v>1804</v>
      </c>
      <c r="S129" s="633"/>
      <c r="T129" s="633"/>
      <c r="U129" s="750"/>
    </row>
    <row r="130" spans="1:21" x14ac:dyDescent="0.3">
      <c r="A130" s="605"/>
      <c r="B130" s="984"/>
      <c r="C130" s="48">
        <v>0.34</v>
      </c>
      <c r="D130" s="48">
        <v>0.44</v>
      </c>
      <c r="E130" s="654"/>
      <c r="F130" s="655"/>
      <c r="G130" s="633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3" t="s">
        <v>1805</v>
      </c>
      <c r="S130" s="633"/>
      <c r="T130" s="633"/>
      <c r="U130" s="750"/>
    </row>
    <row r="131" spans="1:21" ht="15" thickBot="1" x14ac:dyDescent="0.35">
      <c r="A131" s="606"/>
      <c r="B131" s="985"/>
      <c r="C131" s="46">
        <v>0.44</v>
      </c>
      <c r="D131" s="46">
        <v>0.48</v>
      </c>
      <c r="E131" s="646"/>
      <c r="F131" s="648"/>
      <c r="G131" s="634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19">
        <v>70620120114</v>
      </c>
      <c r="S131" s="634"/>
      <c r="T131" s="634"/>
      <c r="U131" s="745"/>
    </row>
    <row r="132" spans="1:21" ht="15" customHeight="1" x14ac:dyDescent="0.3">
      <c r="A132" s="980" t="s">
        <v>1806</v>
      </c>
      <c r="B132" s="983" t="s">
        <v>1807</v>
      </c>
      <c r="C132" s="43">
        <v>0</v>
      </c>
      <c r="D132" s="43">
        <v>9.1999999999999998E-2</v>
      </c>
      <c r="E132" s="694">
        <v>0.27</v>
      </c>
      <c r="F132" s="44">
        <v>1080</v>
      </c>
      <c r="G132" s="641" t="s">
        <v>368</v>
      </c>
      <c r="H132" s="33"/>
      <c r="I132" s="33"/>
      <c r="J132" s="348"/>
      <c r="K132" s="33"/>
      <c r="L132" s="33"/>
      <c r="M132" s="33"/>
      <c r="N132" s="33"/>
      <c r="O132" s="33"/>
      <c r="P132" s="33"/>
      <c r="Q132" s="33"/>
      <c r="R132" s="34">
        <v>70620110141</v>
      </c>
      <c r="S132" s="641"/>
      <c r="T132" s="641" t="s">
        <v>1690</v>
      </c>
      <c r="U132" s="642" t="s">
        <v>67</v>
      </c>
    </row>
    <row r="133" spans="1:21" ht="37.5" customHeight="1" thickBot="1" x14ac:dyDescent="0.35">
      <c r="A133" s="982"/>
      <c r="B133" s="985"/>
      <c r="C133" s="46">
        <v>9.1999999999999998E-2</v>
      </c>
      <c r="D133" s="46">
        <v>0.26500000000000001</v>
      </c>
      <c r="E133" s="696"/>
      <c r="F133" s="47">
        <v>1060</v>
      </c>
      <c r="G133" s="634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19" t="s">
        <v>1808</v>
      </c>
      <c r="S133" s="634"/>
      <c r="T133" s="634"/>
      <c r="U133" s="637"/>
    </row>
    <row r="134" spans="1:21" ht="14.4" customHeight="1" x14ac:dyDescent="0.3">
      <c r="A134" s="980" t="s">
        <v>1809</v>
      </c>
      <c r="B134" s="983" t="s">
        <v>1810</v>
      </c>
      <c r="C134" s="645">
        <v>0</v>
      </c>
      <c r="D134" s="645">
        <v>0.25600000000000001</v>
      </c>
      <c r="E134" s="645">
        <v>0.25600000000000001</v>
      </c>
      <c r="F134" s="647">
        <v>1280</v>
      </c>
      <c r="G134" s="641" t="s">
        <v>368</v>
      </c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>
        <v>70620110437</v>
      </c>
      <c r="S134" s="641"/>
      <c r="T134" s="641" t="s">
        <v>1690</v>
      </c>
      <c r="U134" s="744"/>
    </row>
    <row r="135" spans="1:21" x14ac:dyDescent="0.3">
      <c r="A135" s="981"/>
      <c r="B135" s="984"/>
      <c r="C135" s="654"/>
      <c r="D135" s="654"/>
      <c r="E135" s="654"/>
      <c r="F135" s="655"/>
      <c r="G135" s="63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 t="s">
        <v>1811</v>
      </c>
      <c r="S135" s="633"/>
      <c r="T135" s="633"/>
      <c r="U135" s="750"/>
    </row>
    <row r="136" spans="1:21" ht="22.95" customHeight="1" thickBot="1" x14ac:dyDescent="0.35">
      <c r="A136" s="982"/>
      <c r="B136" s="985"/>
      <c r="C136" s="646"/>
      <c r="D136" s="646"/>
      <c r="E136" s="646"/>
      <c r="F136" s="648"/>
      <c r="G136" s="634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 t="s">
        <v>1812</v>
      </c>
      <c r="S136" s="634"/>
      <c r="T136" s="634"/>
      <c r="U136" s="745"/>
    </row>
    <row r="137" spans="1:21" ht="15" customHeight="1" thickBot="1" x14ac:dyDescent="0.35">
      <c r="A137" s="980" t="s">
        <v>1813</v>
      </c>
      <c r="B137" s="607" t="s">
        <v>1814</v>
      </c>
      <c r="C137" s="43">
        <v>0</v>
      </c>
      <c r="D137" s="43">
        <v>0.13700000000000001</v>
      </c>
      <c r="E137" s="694">
        <v>0.20300000000000001</v>
      </c>
      <c r="F137" s="694">
        <v>813</v>
      </c>
      <c r="G137" s="641" t="s">
        <v>1688</v>
      </c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>
        <v>70620120148</v>
      </c>
      <c r="S137" s="641"/>
      <c r="T137" s="641" t="s">
        <v>1690</v>
      </c>
      <c r="U137" s="744"/>
    </row>
    <row r="138" spans="1:21" ht="38.4" customHeight="1" thickBot="1" x14ac:dyDescent="0.35">
      <c r="A138" s="982"/>
      <c r="B138" s="609"/>
      <c r="C138" s="43">
        <v>0.13700000000000001</v>
      </c>
      <c r="D138" s="46">
        <v>0.20300000000000001</v>
      </c>
      <c r="E138" s="696"/>
      <c r="F138" s="696"/>
      <c r="G138" s="634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19">
        <v>70620120101</v>
      </c>
      <c r="S138" s="634"/>
      <c r="T138" s="634"/>
      <c r="U138" s="745"/>
    </row>
    <row r="139" spans="1:21" ht="14.4" customHeight="1" x14ac:dyDescent="0.3">
      <c r="A139" s="980" t="s">
        <v>1815</v>
      </c>
      <c r="B139" s="607" t="s">
        <v>1816</v>
      </c>
      <c r="C139" s="43">
        <v>0</v>
      </c>
      <c r="D139" s="43">
        <v>0.30099999999999999</v>
      </c>
      <c r="E139" s="645">
        <v>0.68300000000000005</v>
      </c>
      <c r="F139" s="44">
        <v>2107</v>
      </c>
      <c r="G139" s="33" t="s">
        <v>1688</v>
      </c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4">
        <v>70620050152</v>
      </c>
      <c r="S139" s="641" t="s">
        <v>1817</v>
      </c>
      <c r="T139" s="641" t="s">
        <v>1690</v>
      </c>
      <c r="U139" s="642" t="s">
        <v>67</v>
      </c>
    </row>
    <row r="140" spans="1:21" x14ac:dyDescent="0.3">
      <c r="A140" s="981"/>
      <c r="B140" s="608"/>
      <c r="C140" s="48">
        <v>0.30099999999999999</v>
      </c>
      <c r="D140" s="48">
        <v>0.38400000000000001</v>
      </c>
      <c r="E140" s="654"/>
      <c r="F140" s="655">
        <v>1540</v>
      </c>
      <c r="G140" s="633" t="s">
        <v>368</v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3" t="s">
        <v>1818</v>
      </c>
      <c r="S140" s="633"/>
      <c r="T140" s="633"/>
      <c r="U140" s="636"/>
    </row>
    <row r="141" spans="1:21" ht="25.2" customHeight="1" thickBot="1" x14ac:dyDescent="0.35">
      <c r="A141" s="982"/>
      <c r="B141" s="609"/>
      <c r="C141" s="46">
        <v>0.38400000000000001</v>
      </c>
      <c r="D141" s="46">
        <v>0.68300000000000005</v>
      </c>
      <c r="E141" s="646"/>
      <c r="F141" s="648"/>
      <c r="G141" s="634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19">
        <v>70620050153</v>
      </c>
      <c r="S141" s="634"/>
      <c r="T141" s="634"/>
      <c r="U141" s="637"/>
    </row>
    <row r="142" spans="1:21" ht="14.4" customHeight="1" x14ac:dyDescent="0.3">
      <c r="A142" s="980" t="s">
        <v>1819</v>
      </c>
      <c r="B142" s="983" t="s">
        <v>1820</v>
      </c>
      <c r="C142" s="43">
        <v>0</v>
      </c>
      <c r="D142" s="43">
        <v>6.2E-2</v>
      </c>
      <c r="E142" s="645">
        <v>0.36899999999999999</v>
      </c>
      <c r="F142" s="647">
        <v>1476</v>
      </c>
      <c r="G142" s="641" t="s">
        <v>368</v>
      </c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4" t="s">
        <v>1821</v>
      </c>
      <c r="S142" s="641"/>
      <c r="T142" s="641" t="s">
        <v>1690</v>
      </c>
      <c r="U142" s="744"/>
    </row>
    <row r="143" spans="1:21" x14ac:dyDescent="0.3">
      <c r="A143" s="981"/>
      <c r="B143" s="984"/>
      <c r="C143" s="654">
        <v>6.2E-2</v>
      </c>
      <c r="D143" s="654">
        <v>0.36899999999999999</v>
      </c>
      <c r="E143" s="654"/>
      <c r="F143" s="655"/>
      <c r="G143" s="633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3">
        <v>70620050162</v>
      </c>
      <c r="S143" s="633"/>
      <c r="T143" s="633"/>
      <c r="U143" s="750"/>
    </row>
    <row r="144" spans="1:21" x14ac:dyDescent="0.3">
      <c r="A144" s="981"/>
      <c r="B144" s="984"/>
      <c r="C144" s="654"/>
      <c r="D144" s="654"/>
      <c r="E144" s="654"/>
      <c r="F144" s="655"/>
      <c r="G144" s="633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3">
        <v>70620050163</v>
      </c>
      <c r="S144" s="633"/>
      <c r="T144" s="633"/>
      <c r="U144" s="750"/>
    </row>
    <row r="145" spans="1:21" x14ac:dyDescent="0.3">
      <c r="A145" s="981"/>
      <c r="B145" s="984"/>
      <c r="C145" s="654"/>
      <c r="D145" s="654"/>
      <c r="E145" s="654"/>
      <c r="F145" s="655"/>
      <c r="G145" s="633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3">
        <v>70620050132</v>
      </c>
      <c r="S145" s="633"/>
      <c r="T145" s="633"/>
      <c r="U145" s="750"/>
    </row>
    <row r="146" spans="1:21" x14ac:dyDescent="0.3">
      <c r="A146" s="981"/>
      <c r="B146" s="984"/>
      <c r="C146" s="654"/>
      <c r="D146" s="654"/>
      <c r="E146" s="654"/>
      <c r="F146" s="655"/>
      <c r="G146" s="633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3" t="s">
        <v>1822</v>
      </c>
      <c r="S146" s="633"/>
      <c r="T146" s="633"/>
      <c r="U146" s="750"/>
    </row>
    <row r="147" spans="1:21" x14ac:dyDescent="0.3">
      <c r="A147" s="981"/>
      <c r="B147" s="984"/>
      <c r="C147" s="654"/>
      <c r="D147" s="654"/>
      <c r="E147" s="654"/>
      <c r="F147" s="655"/>
      <c r="G147" s="633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3" t="s">
        <v>1823</v>
      </c>
      <c r="S147" s="633"/>
      <c r="T147" s="633"/>
      <c r="U147" s="750"/>
    </row>
    <row r="148" spans="1:21" ht="15" thickBot="1" x14ac:dyDescent="0.35">
      <c r="A148" s="982"/>
      <c r="B148" s="985"/>
      <c r="C148" s="646"/>
      <c r="D148" s="646"/>
      <c r="E148" s="646"/>
      <c r="F148" s="47"/>
      <c r="G148" s="634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19" t="s">
        <v>1824</v>
      </c>
      <c r="S148" s="634"/>
      <c r="T148" s="634"/>
      <c r="U148" s="745"/>
    </row>
    <row r="149" spans="1:21" ht="14.4" customHeight="1" x14ac:dyDescent="0.3">
      <c r="A149" s="643" t="s">
        <v>1825</v>
      </c>
      <c r="B149" s="983" t="s">
        <v>1826</v>
      </c>
      <c r="C149" s="645">
        <v>0</v>
      </c>
      <c r="D149" s="645">
        <v>0.126</v>
      </c>
      <c r="E149" s="645">
        <v>0.48899999999999999</v>
      </c>
      <c r="F149" s="647">
        <v>2445</v>
      </c>
      <c r="G149" s="641" t="s">
        <v>368</v>
      </c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4">
        <v>70620060097</v>
      </c>
      <c r="S149" s="641"/>
      <c r="T149" s="641" t="s">
        <v>1690</v>
      </c>
      <c r="U149" s="744"/>
    </row>
    <row r="150" spans="1:21" x14ac:dyDescent="0.3">
      <c r="A150" s="742"/>
      <c r="B150" s="984"/>
      <c r="C150" s="654"/>
      <c r="D150" s="654"/>
      <c r="E150" s="654"/>
      <c r="F150" s="655"/>
      <c r="G150" s="633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3" t="s">
        <v>1827</v>
      </c>
      <c r="S150" s="633"/>
      <c r="T150" s="633"/>
      <c r="U150" s="750"/>
    </row>
    <row r="151" spans="1:21" x14ac:dyDescent="0.3">
      <c r="A151" s="742"/>
      <c r="B151" s="984"/>
      <c r="C151" s="654">
        <v>0.126</v>
      </c>
      <c r="D151" s="654">
        <v>0.41499999999999998</v>
      </c>
      <c r="E151" s="654"/>
      <c r="F151" s="655"/>
      <c r="G151" s="633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3" t="s">
        <v>1828</v>
      </c>
      <c r="S151" s="633"/>
      <c r="T151" s="633"/>
      <c r="U151" s="750"/>
    </row>
    <row r="152" spans="1:21" x14ac:dyDescent="0.3">
      <c r="A152" s="742"/>
      <c r="B152" s="984"/>
      <c r="C152" s="654"/>
      <c r="D152" s="654"/>
      <c r="E152" s="654"/>
      <c r="F152" s="655"/>
      <c r="G152" s="63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 t="s">
        <v>1829</v>
      </c>
      <c r="S152" s="633"/>
      <c r="T152" s="633"/>
      <c r="U152" s="750"/>
    </row>
    <row r="153" spans="1:21" ht="15" thickBot="1" x14ac:dyDescent="0.35">
      <c r="A153" s="644"/>
      <c r="B153" s="985"/>
      <c r="C153" s="16">
        <v>0.41499999999999998</v>
      </c>
      <c r="D153" s="16">
        <v>0.48899999999999999</v>
      </c>
      <c r="E153" s="646"/>
      <c r="F153" s="648"/>
      <c r="G153" s="634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>
        <v>70620060171</v>
      </c>
      <c r="S153" s="634"/>
      <c r="T153" s="634"/>
      <c r="U153" s="745"/>
    </row>
    <row r="154" spans="1:21" ht="14.4" customHeight="1" x14ac:dyDescent="0.3">
      <c r="A154" s="643" t="s">
        <v>1830</v>
      </c>
      <c r="B154" s="983" t="s">
        <v>1831</v>
      </c>
      <c r="C154" s="43">
        <v>0</v>
      </c>
      <c r="D154" s="43">
        <v>0.115</v>
      </c>
      <c r="E154" s="645">
        <v>1.3</v>
      </c>
      <c r="F154" s="647">
        <v>6550</v>
      </c>
      <c r="G154" s="641" t="s">
        <v>368</v>
      </c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4">
        <v>70620060186</v>
      </c>
      <c r="S154" s="641"/>
      <c r="T154" s="641" t="s">
        <v>1690</v>
      </c>
      <c r="U154" s="744"/>
    </row>
    <row r="155" spans="1:21" x14ac:dyDescent="0.3">
      <c r="A155" s="742"/>
      <c r="B155" s="984"/>
      <c r="C155" s="654">
        <v>0.115</v>
      </c>
      <c r="D155" s="654">
        <v>0.44</v>
      </c>
      <c r="E155" s="654"/>
      <c r="F155" s="655"/>
      <c r="G155" s="633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3" t="s">
        <v>1832</v>
      </c>
      <c r="S155" s="633"/>
      <c r="T155" s="633"/>
      <c r="U155" s="750"/>
    </row>
    <row r="156" spans="1:21" x14ac:dyDescent="0.3">
      <c r="A156" s="742"/>
      <c r="B156" s="984"/>
      <c r="C156" s="654"/>
      <c r="D156" s="654"/>
      <c r="E156" s="654"/>
      <c r="F156" s="655"/>
      <c r="G156" s="633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3" t="s">
        <v>1833</v>
      </c>
      <c r="S156" s="633"/>
      <c r="T156" s="633"/>
      <c r="U156" s="750"/>
    </row>
    <row r="157" spans="1:21" x14ac:dyDescent="0.3">
      <c r="A157" s="742"/>
      <c r="B157" s="984"/>
      <c r="C157" s="654"/>
      <c r="D157" s="654"/>
      <c r="E157" s="654"/>
      <c r="F157" s="655"/>
      <c r="G157" s="633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3" t="s">
        <v>1834</v>
      </c>
      <c r="S157" s="633"/>
      <c r="T157" s="633"/>
      <c r="U157" s="750"/>
    </row>
    <row r="158" spans="1:21" x14ac:dyDescent="0.3">
      <c r="A158" s="742"/>
      <c r="B158" s="984"/>
      <c r="C158" s="654">
        <v>0.44</v>
      </c>
      <c r="D158" s="654">
        <v>1.3</v>
      </c>
      <c r="E158" s="654"/>
      <c r="F158" s="655"/>
      <c r="G158" s="633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3" t="s">
        <v>1835</v>
      </c>
      <c r="S158" s="633"/>
      <c r="T158" s="633"/>
      <c r="U158" s="750"/>
    </row>
    <row r="159" spans="1:21" x14ac:dyDescent="0.3">
      <c r="A159" s="742"/>
      <c r="B159" s="984"/>
      <c r="C159" s="654"/>
      <c r="D159" s="654"/>
      <c r="E159" s="654"/>
      <c r="F159" s="655"/>
      <c r="G159" s="633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3" t="s">
        <v>1836</v>
      </c>
      <c r="S159" s="633"/>
      <c r="T159" s="633"/>
      <c r="U159" s="750"/>
    </row>
    <row r="160" spans="1:21" ht="15" thickBot="1" x14ac:dyDescent="0.35">
      <c r="A160" s="644"/>
      <c r="B160" s="985"/>
      <c r="C160" s="646"/>
      <c r="D160" s="646"/>
      <c r="E160" s="646"/>
      <c r="F160" s="648"/>
      <c r="G160" s="634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 t="s">
        <v>1837</v>
      </c>
      <c r="S160" s="634"/>
      <c r="T160" s="634"/>
      <c r="U160" s="745"/>
    </row>
    <row r="161" spans="1:21" ht="14.4" customHeight="1" x14ac:dyDescent="0.3">
      <c r="A161" s="643" t="s">
        <v>1838</v>
      </c>
      <c r="B161" s="983" t="s">
        <v>1839</v>
      </c>
      <c r="C161" s="610">
        <v>0</v>
      </c>
      <c r="D161" s="610">
        <v>0.28000000000000003</v>
      </c>
      <c r="E161" s="610">
        <v>2.4449999999999998</v>
      </c>
      <c r="F161" s="613">
        <v>12225</v>
      </c>
      <c r="G161" s="641" t="s">
        <v>368</v>
      </c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3">
        <v>70620060174</v>
      </c>
      <c r="S161" s="641"/>
      <c r="T161" s="641" t="s">
        <v>1690</v>
      </c>
      <c r="U161" s="642" t="s">
        <v>67</v>
      </c>
    </row>
    <row r="162" spans="1:21" x14ac:dyDescent="0.3">
      <c r="A162" s="742"/>
      <c r="B162" s="984"/>
      <c r="C162" s="611"/>
      <c r="D162" s="611"/>
      <c r="E162" s="611"/>
      <c r="F162" s="614"/>
      <c r="G162" s="63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 t="s">
        <v>1840</v>
      </c>
      <c r="S162" s="633"/>
      <c r="T162" s="633"/>
      <c r="U162" s="636"/>
    </row>
    <row r="163" spans="1:21" x14ac:dyDescent="0.3">
      <c r="A163" s="742"/>
      <c r="B163" s="984"/>
      <c r="C163" s="611"/>
      <c r="D163" s="611"/>
      <c r="E163" s="611"/>
      <c r="F163" s="614"/>
      <c r="G163" s="633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3" t="s">
        <v>1841</v>
      </c>
      <c r="S163" s="633"/>
      <c r="T163" s="633"/>
      <c r="U163" s="636"/>
    </row>
    <row r="164" spans="1:21" x14ac:dyDescent="0.3">
      <c r="A164" s="742"/>
      <c r="B164" s="984"/>
      <c r="C164" s="654">
        <v>0.28000000000000003</v>
      </c>
      <c r="D164" s="654">
        <v>2.4449999999999998</v>
      </c>
      <c r="E164" s="611"/>
      <c r="F164" s="614"/>
      <c r="G164" s="63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 t="s">
        <v>1721</v>
      </c>
      <c r="S164" s="633"/>
      <c r="T164" s="633"/>
      <c r="U164" s="636"/>
    </row>
    <row r="165" spans="1:21" x14ac:dyDescent="0.3">
      <c r="A165" s="742"/>
      <c r="B165" s="984"/>
      <c r="C165" s="654"/>
      <c r="D165" s="654"/>
      <c r="E165" s="611"/>
      <c r="F165" s="614"/>
      <c r="G165" s="63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 t="s">
        <v>1842</v>
      </c>
      <c r="S165" s="633"/>
      <c r="T165" s="633"/>
      <c r="U165" s="636"/>
    </row>
    <row r="166" spans="1:21" x14ac:dyDescent="0.3">
      <c r="A166" s="742"/>
      <c r="B166" s="984"/>
      <c r="C166" s="654"/>
      <c r="D166" s="654"/>
      <c r="E166" s="611"/>
      <c r="F166" s="614"/>
      <c r="G166" s="63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>
        <v>70620100074</v>
      </c>
      <c r="S166" s="633"/>
      <c r="T166" s="633"/>
      <c r="U166" s="636"/>
    </row>
    <row r="167" spans="1:21" x14ac:dyDescent="0.3">
      <c r="A167" s="742"/>
      <c r="B167" s="984"/>
      <c r="C167" s="654"/>
      <c r="D167" s="654"/>
      <c r="E167" s="611"/>
      <c r="F167" s="614"/>
      <c r="G167" s="63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 t="s">
        <v>1843</v>
      </c>
      <c r="S167" s="633"/>
      <c r="T167" s="633"/>
      <c r="U167" s="636"/>
    </row>
    <row r="168" spans="1:21" x14ac:dyDescent="0.3">
      <c r="A168" s="742"/>
      <c r="B168" s="984"/>
      <c r="C168" s="654"/>
      <c r="D168" s="654"/>
      <c r="E168" s="611"/>
      <c r="F168" s="614"/>
      <c r="G168" s="63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>
        <v>70620100060</v>
      </c>
      <c r="S168" s="633"/>
      <c r="T168" s="633"/>
      <c r="U168" s="636"/>
    </row>
    <row r="169" spans="1:21" ht="15" thickBot="1" x14ac:dyDescent="0.35">
      <c r="A169" s="644"/>
      <c r="B169" s="985"/>
      <c r="C169" s="646"/>
      <c r="D169" s="646"/>
      <c r="E169" s="612"/>
      <c r="F169" s="638"/>
      <c r="G169" s="634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 t="s">
        <v>1844</v>
      </c>
      <c r="S169" s="634"/>
      <c r="T169" s="634"/>
      <c r="U169" s="637"/>
    </row>
    <row r="170" spans="1:21" ht="14.4" customHeight="1" x14ac:dyDescent="0.3">
      <c r="A170" s="643" t="s">
        <v>1845</v>
      </c>
      <c r="B170" s="983" t="s">
        <v>1846</v>
      </c>
      <c r="C170" s="43">
        <v>0</v>
      </c>
      <c r="D170" s="43">
        <v>0.63</v>
      </c>
      <c r="E170" s="645">
        <v>3.9969999999999999</v>
      </c>
      <c r="F170" s="647">
        <v>7350</v>
      </c>
      <c r="G170" s="641" t="s">
        <v>1688</v>
      </c>
      <c r="H170" s="34"/>
      <c r="I170" s="33"/>
      <c r="J170" s="33"/>
      <c r="K170" s="33"/>
      <c r="L170" s="33"/>
      <c r="M170" s="33"/>
      <c r="N170" s="33"/>
      <c r="O170" s="33"/>
      <c r="P170" s="33"/>
      <c r="Q170" s="33"/>
      <c r="R170" s="33">
        <v>70620090154</v>
      </c>
      <c r="S170" s="641"/>
      <c r="T170" s="641" t="s">
        <v>1690</v>
      </c>
      <c r="U170" s="642" t="s">
        <v>67</v>
      </c>
    </row>
    <row r="171" spans="1:21" x14ac:dyDescent="0.3">
      <c r="A171" s="742"/>
      <c r="B171" s="984"/>
      <c r="C171" s="48">
        <v>0.63</v>
      </c>
      <c r="D171" s="48">
        <v>1.226</v>
      </c>
      <c r="E171" s="654"/>
      <c r="F171" s="655"/>
      <c r="G171" s="633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 t="s">
        <v>1847</v>
      </c>
      <c r="S171" s="633"/>
      <c r="T171" s="633"/>
      <c r="U171" s="636"/>
    </row>
    <row r="172" spans="1:21" x14ac:dyDescent="0.3">
      <c r="A172" s="742"/>
      <c r="B172" s="984"/>
      <c r="C172" s="48">
        <v>1.226</v>
      </c>
      <c r="D172" s="48">
        <v>1.264</v>
      </c>
      <c r="E172" s="654"/>
      <c r="F172" s="655"/>
      <c r="G172" s="633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 t="s">
        <v>1848</v>
      </c>
      <c r="S172" s="633"/>
      <c r="T172" s="633"/>
      <c r="U172" s="636"/>
    </row>
    <row r="173" spans="1:21" x14ac:dyDescent="0.3">
      <c r="A173" s="742"/>
      <c r="B173" s="984"/>
      <c r="C173" s="48">
        <v>1.264</v>
      </c>
      <c r="D173" s="48">
        <v>1.3180000000000001</v>
      </c>
      <c r="E173" s="654"/>
      <c r="F173" s="655"/>
      <c r="G173" s="63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 t="s">
        <v>1849</v>
      </c>
      <c r="S173" s="633"/>
      <c r="T173" s="633"/>
      <c r="U173" s="636"/>
    </row>
    <row r="174" spans="1:21" x14ac:dyDescent="0.3">
      <c r="A174" s="742"/>
      <c r="B174" s="984"/>
      <c r="C174" s="48">
        <v>1.3180000000000001</v>
      </c>
      <c r="D174" s="48">
        <v>2.1539999999999999</v>
      </c>
      <c r="E174" s="654"/>
      <c r="F174" s="655">
        <v>13850</v>
      </c>
      <c r="G174" s="14" t="s">
        <v>368</v>
      </c>
      <c r="H174" s="14"/>
      <c r="I174" s="14"/>
      <c r="J174" s="347"/>
      <c r="K174" s="14"/>
      <c r="L174" s="14"/>
      <c r="M174" s="14"/>
      <c r="N174" s="14"/>
      <c r="O174" s="14"/>
      <c r="P174" s="14"/>
      <c r="Q174" s="14"/>
      <c r="R174" s="13">
        <v>70620100060</v>
      </c>
      <c r="S174" s="633"/>
      <c r="T174" s="633"/>
      <c r="U174" s="636"/>
    </row>
    <row r="175" spans="1:21" ht="24.6" thickBot="1" x14ac:dyDescent="0.35">
      <c r="A175" s="644"/>
      <c r="B175" s="985"/>
      <c r="C175" s="46">
        <v>2.1539999999999999</v>
      </c>
      <c r="D175" s="46">
        <v>3.9969999999999999</v>
      </c>
      <c r="E175" s="646"/>
      <c r="F175" s="648"/>
      <c r="G175" s="20"/>
      <c r="H175" s="19"/>
      <c r="I175" s="19" t="s">
        <v>1850</v>
      </c>
      <c r="J175" s="346" t="s">
        <v>1851</v>
      </c>
      <c r="K175" s="20">
        <v>30.3</v>
      </c>
      <c r="L175" s="20">
        <v>218.16</v>
      </c>
      <c r="M175" s="19"/>
      <c r="N175" s="19"/>
      <c r="O175" s="19"/>
      <c r="P175" s="19"/>
      <c r="Q175" s="19"/>
      <c r="R175" s="19">
        <v>70620100073</v>
      </c>
      <c r="S175" s="634"/>
      <c r="T175" s="634"/>
      <c r="U175" s="637"/>
    </row>
    <row r="176" spans="1:21" ht="14.4" customHeight="1" x14ac:dyDescent="0.3">
      <c r="A176" s="643" t="s">
        <v>1852</v>
      </c>
      <c r="B176" s="983" t="s">
        <v>1853</v>
      </c>
      <c r="C176" s="43">
        <v>0</v>
      </c>
      <c r="D176" s="43">
        <v>0.37</v>
      </c>
      <c r="E176" s="645">
        <v>3.512</v>
      </c>
      <c r="F176" s="647">
        <v>17560</v>
      </c>
      <c r="G176" s="641" t="s">
        <v>368</v>
      </c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 t="s">
        <v>1854</v>
      </c>
      <c r="S176" s="641"/>
      <c r="T176" s="641" t="s">
        <v>1690</v>
      </c>
      <c r="U176" s="744"/>
    </row>
    <row r="177" spans="1:21" x14ac:dyDescent="0.3">
      <c r="A177" s="742"/>
      <c r="B177" s="984"/>
      <c r="C177" s="48">
        <v>0.37</v>
      </c>
      <c r="D177" s="48">
        <v>0.73</v>
      </c>
      <c r="E177" s="654"/>
      <c r="F177" s="655"/>
      <c r="G177" s="63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633" t="s">
        <v>1855</v>
      </c>
      <c r="S177" s="633"/>
      <c r="T177" s="633"/>
      <c r="U177" s="750"/>
    </row>
    <row r="178" spans="1:21" x14ac:dyDescent="0.3">
      <c r="A178" s="742"/>
      <c r="B178" s="984"/>
      <c r="C178" s="48">
        <v>0.73</v>
      </c>
      <c r="D178" s="48">
        <v>0.75600000000000001</v>
      </c>
      <c r="E178" s="654"/>
      <c r="F178" s="655"/>
      <c r="G178" s="63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633"/>
      <c r="S178" s="633"/>
      <c r="T178" s="633"/>
      <c r="U178" s="750"/>
    </row>
    <row r="179" spans="1:21" x14ac:dyDescent="0.3">
      <c r="A179" s="742"/>
      <c r="B179" s="984"/>
      <c r="C179" s="48">
        <v>0.75600000000000001</v>
      </c>
      <c r="D179" s="48">
        <v>0.76300000000000001</v>
      </c>
      <c r="E179" s="654"/>
      <c r="F179" s="655"/>
      <c r="G179" s="63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 t="s">
        <v>1856</v>
      </c>
      <c r="S179" s="633"/>
      <c r="T179" s="633"/>
      <c r="U179" s="750"/>
    </row>
    <row r="180" spans="1:21" x14ac:dyDescent="0.3">
      <c r="A180" s="742"/>
      <c r="B180" s="984"/>
      <c r="C180" s="48">
        <v>0.76300000000000001</v>
      </c>
      <c r="D180" s="48">
        <v>1.194</v>
      </c>
      <c r="E180" s="654"/>
      <c r="F180" s="655"/>
      <c r="G180" s="63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4" t="s">
        <v>1857</v>
      </c>
      <c r="S180" s="633"/>
      <c r="T180" s="633"/>
      <c r="U180" s="750"/>
    </row>
    <row r="181" spans="1:21" x14ac:dyDescent="0.3">
      <c r="A181" s="742"/>
      <c r="B181" s="984"/>
      <c r="C181" s="654">
        <v>1.194</v>
      </c>
      <c r="D181" s="654">
        <v>1.8420000000000001</v>
      </c>
      <c r="E181" s="654"/>
      <c r="F181" s="655"/>
      <c r="G181" s="63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 t="s">
        <v>1858</v>
      </c>
      <c r="S181" s="633"/>
      <c r="T181" s="633"/>
      <c r="U181" s="750"/>
    </row>
    <row r="182" spans="1:21" x14ac:dyDescent="0.3">
      <c r="A182" s="742"/>
      <c r="B182" s="984"/>
      <c r="C182" s="654"/>
      <c r="D182" s="654"/>
      <c r="E182" s="654"/>
      <c r="F182" s="655"/>
      <c r="G182" s="63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 t="s">
        <v>1859</v>
      </c>
      <c r="S182" s="633"/>
      <c r="T182" s="633"/>
      <c r="U182" s="750"/>
    </row>
    <row r="183" spans="1:21" x14ac:dyDescent="0.3">
      <c r="A183" s="742"/>
      <c r="B183" s="984"/>
      <c r="C183" s="654"/>
      <c r="D183" s="654"/>
      <c r="E183" s="654"/>
      <c r="F183" s="655"/>
      <c r="G183" s="63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 t="s">
        <v>1860</v>
      </c>
      <c r="S183" s="633"/>
      <c r="T183" s="633"/>
      <c r="U183" s="750"/>
    </row>
    <row r="184" spans="1:21" x14ac:dyDescent="0.3">
      <c r="A184" s="742"/>
      <c r="B184" s="984"/>
      <c r="C184" s="654">
        <v>1.8420000000000001</v>
      </c>
      <c r="D184" s="654">
        <v>2.2690000000000001</v>
      </c>
      <c r="E184" s="654"/>
      <c r="F184" s="655"/>
      <c r="G184" s="63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 t="s">
        <v>1861</v>
      </c>
      <c r="S184" s="633"/>
      <c r="T184" s="633"/>
      <c r="U184" s="750"/>
    </row>
    <row r="185" spans="1:21" x14ac:dyDescent="0.3">
      <c r="A185" s="742"/>
      <c r="B185" s="984"/>
      <c r="C185" s="654"/>
      <c r="D185" s="654"/>
      <c r="E185" s="654"/>
      <c r="F185" s="655"/>
      <c r="G185" s="63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 t="s">
        <v>1862</v>
      </c>
      <c r="S185" s="633"/>
      <c r="T185" s="633"/>
      <c r="U185" s="750"/>
    </row>
    <row r="186" spans="1:21" x14ac:dyDescent="0.3">
      <c r="A186" s="742"/>
      <c r="B186" s="984"/>
      <c r="C186" s="654">
        <v>2.2690000000000001</v>
      </c>
      <c r="D186" s="654">
        <v>2.637</v>
      </c>
      <c r="E186" s="654"/>
      <c r="F186" s="655"/>
      <c r="G186" s="63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 t="s">
        <v>1863</v>
      </c>
      <c r="S186" s="633"/>
      <c r="T186" s="633"/>
      <c r="U186" s="750"/>
    </row>
    <row r="187" spans="1:21" x14ac:dyDescent="0.3">
      <c r="A187" s="742"/>
      <c r="B187" s="984"/>
      <c r="C187" s="654"/>
      <c r="D187" s="654"/>
      <c r="E187" s="654"/>
      <c r="F187" s="655"/>
      <c r="G187" s="63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 t="s">
        <v>1864</v>
      </c>
      <c r="S187" s="633"/>
      <c r="T187" s="633"/>
      <c r="U187" s="750"/>
    </row>
    <row r="188" spans="1:21" x14ac:dyDescent="0.3">
      <c r="A188" s="742"/>
      <c r="B188" s="984"/>
      <c r="C188" s="654"/>
      <c r="D188" s="654"/>
      <c r="E188" s="654"/>
      <c r="F188" s="655"/>
      <c r="G188" s="63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 t="s">
        <v>1865</v>
      </c>
      <c r="S188" s="633"/>
      <c r="T188" s="633"/>
      <c r="U188" s="750"/>
    </row>
    <row r="189" spans="1:21" x14ac:dyDescent="0.3">
      <c r="A189" s="742"/>
      <c r="B189" s="984"/>
      <c r="C189" s="654">
        <v>2.637</v>
      </c>
      <c r="D189" s="654">
        <v>2.7919999999999998</v>
      </c>
      <c r="E189" s="654"/>
      <c r="F189" s="655"/>
      <c r="G189" s="63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 t="s">
        <v>1866</v>
      </c>
      <c r="S189" s="633"/>
      <c r="T189" s="633"/>
      <c r="U189" s="750"/>
    </row>
    <row r="190" spans="1:21" ht="24" x14ac:dyDescent="0.3">
      <c r="A190" s="742"/>
      <c r="B190" s="984"/>
      <c r="C190" s="654"/>
      <c r="D190" s="654"/>
      <c r="E190" s="654"/>
      <c r="F190" s="655"/>
      <c r="G190" s="633"/>
      <c r="H190" s="13"/>
      <c r="I190" s="13" t="s">
        <v>1867</v>
      </c>
      <c r="J190" s="347" t="s">
        <v>1868</v>
      </c>
      <c r="K190" s="13">
        <v>18.2</v>
      </c>
      <c r="L190" s="13">
        <v>91</v>
      </c>
      <c r="M190" s="13"/>
      <c r="N190" s="13"/>
      <c r="O190" s="13"/>
      <c r="P190" s="13"/>
      <c r="Q190" s="13"/>
      <c r="R190" s="13" t="s">
        <v>1869</v>
      </c>
      <c r="S190" s="633"/>
      <c r="T190" s="633"/>
      <c r="U190" s="750"/>
    </row>
    <row r="191" spans="1:21" ht="15" thickBot="1" x14ac:dyDescent="0.35">
      <c r="A191" s="644"/>
      <c r="B191" s="985"/>
      <c r="C191" s="46">
        <v>2.7919999999999998</v>
      </c>
      <c r="D191" s="46">
        <v>3.512</v>
      </c>
      <c r="E191" s="646"/>
      <c r="F191" s="648"/>
      <c r="G191" s="634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>
        <v>70620110444</v>
      </c>
      <c r="S191" s="634"/>
      <c r="T191" s="634"/>
      <c r="U191" s="745"/>
    </row>
    <row r="192" spans="1:21" ht="14.4" customHeight="1" x14ac:dyDescent="0.3">
      <c r="A192" s="643" t="s">
        <v>1870</v>
      </c>
      <c r="B192" s="983" t="s">
        <v>1871</v>
      </c>
      <c r="C192" s="43">
        <v>0</v>
      </c>
      <c r="D192" s="43">
        <v>0.56999999999999995</v>
      </c>
      <c r="E192" s="645">
        <v>1.369</v>
      </c>
      <c r="F192" s="647">
        <v>6845</v>
      </c>
      <c r="G192" s="641" t="s">
        <v>368</v>
      </c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>
        <v>70620060175</v>
      </c>
      <c r="S192" s="641"/>
      <c r="T192" s="641" t="s">
        <v>1690</v>
      </c>
      <c r="U192" s="744"/>
    </row>
    <row r="193" spans="1:21" x14ac:dyDescent="0.3">
      <c r="A193" s="742"/>
      <c r="B193" s="984"/>
      <c r="C193" s="48">
        <v>0.56999999999999995</v>
      </c>
      <c r="D193" s="48">
        <v>0.87</v>
      </c>
      <c r="E193" s="654"/>
      <c r="F193" s="655"/>
      <c r="G193" s="63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 t="s">
        <v>1872</v>
      </c>
      <c r="S193" s="633"/>
      <c r="T193" s="633"/>
      <c r="U193" s="750"/>
    </row>
    <row r="194" spans="1:21" x14ac:dyDescent="0.3">
      <c r="A194" s="742"/>
      <c r="B194" s="984"/>
      <c r="C194" s="48">
        <v>0.87</v>
      </c>
      <c r="D194" s="48">
        <v>1.1060000000000001</v>
      </c>
      <c r="E194" s="654"/>
      <c r="F194" s="655"/>
      <c r="G194" s="63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 t="s">
        <v>1873</v>
      </c>
      <c r="S194" s="633"/>
      <c r="T194" s="633"/>
      <c r="U194" s="750"/>
    </row>
    <row r="195" spans="1:21" ht="15" thickBot="1" x14ac:dyDescent="0.35">
      <c r="A195" s="644"/>
      <c r="B195" s="985"/>
      <c r="C195" s="46">
        <v>1.1060000000000001</v>
      </c>
      <c r="D195" s="46">
        <v>1.369</v>
      </c>
      <c r="E195" s="646"/>
      <c r="F195" s="648"/>
      <c r="G195" s="634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>
        <v>70620060176</v>
      </c>
      <c r="S195" s="634"/>
      <c r="T195" s="634"/>
      <c r="U195" s="745"/>
    </row>
    <row r="196" spans="1:21" ht="15" customHeight="1" x14ac:dyDescent="0.3">
      <c r="A196" s="643" t="s">
        <v>1874</v>
      </c>
      <c r="B196" s="983" t="s">
        <v>1875</v>
      </c>
      <c r="C196" s="43">
        <v>0</v>
      </c>
      <c r="D196" s="43">
        <v>0.87</v>
      </c>
      <c r="E196" s="645">
        <v>3.4910000000000001</v>
      </c>
      <c r="F196" s="647">
        <v>17455</v>
      </c>
      <c r="G196" s="641" t="s">
        <v>368</v>
      </c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>
        <v>70620090152</v>
      </c>
      <c r="S196" s="641"/>
      <c r="T196" s="641" t="s">
        <v>1690</v>
      </c>
      <c r="U196" s="744"/>
    </row>
    <row r="197" spans="1:21" x14ac:dyDescent="0.3">
      <c r="A197" s="742"/>
      <c r="B197" s="984"/>
      <c r="C197" s="48">
        <v>0.87</v>
      </c>
      <c r="D197" s="48">
        <v>1.2110000000000001</v>
      </c>
      <c r="E197" s="654"/>
      <c r="F197" s="655"/>
      <c r="G197" s="63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4">
        <v>70620090156</v>
      </c>
      <c r="S197" s="633"/>
      <c r="T197" s="633"/>
      <c r="U197" s="750"/>
    </row>
    <row r="198" spans="1:21" x14ac:dyDescent="0.3">
      <c r="A198" s="742"/>
      <c r="B198" s="984"/>
      <c r="C198" s="48">
        <v>1.2110000000000001</v>
      </c>
      <c r="D198" s="48">
        <v>1.7589999999999999</v>
      </c>
      <c r="E198" s="654"/>
      <c r="F198" s="655"/>
      <c r="G198" s="63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4" t="s">
        <v>1876</v>
      </c>
      <c r="S198" s="633"/>
      <c r="T198" s="633"/>
      <c r="U198" s="750"/>
    </row>
    <row r="199" spans="1:21" ht="24" x14ac:dyDescent="0.3">
      <c r="A199" s="742"/>
      <c r="B199" s="984"/>
      <c r="C199" s="48">
        <v>1.7589999999999999</v>
      </c>
      <c r="D199" s="48">
        <v>2.492</v>
      </c>
      <c r="E199" s="654"/>
      <c r="F199" s="655"/>
      <c r="G199" s="633"/>
      <c r="H199" s="13"/>
      <c r="I199" s="13" t="s">
        <v>1877</v>
      </c>
      <c r="J199" s="347" t="s">
        <v>1878</v>
      </c>
      <c r="K199" s="13">
        <v>12.1</v>
      </c>
      <c r="L199" s="13">
        <v>85.91</v>
      </c>
      <c r="M199" s="13"/>
      <c r="N199" s="13"/>
      <c r="O199" s="13"/>
      <c r="P199" s="13"/>
      <c r="Q199" s="13"/>
      <c r="R199" s="14">
        <v>70620090153</v>
      </c>
      <c r="S199" s="633"/>
      <c r="T199" s="633"/>
      <c r="U199" s="750"/>
    </row>
    <row r="200" spans="1:21" x14ac:dyDescent="0.3">
      <c r="A200" s="742"/>
      <c r="B200" s="984"/>
      <c r="C200" s="48">
        <v>2.492</v>
      </c>
      <c r="D200" s="48">
        <v>2.7120000000000002</v>
      </c>
      <c r="E200" s="654"/>
      <c r="F200" s="655"/>
      <c r="G200" s="63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4">
        <v>70620090089</v>
      </c>
      <c r="S200" s="633"/>
      <c r="T200" s="633"/>
      <c r="U200" s="750"/>
    </row>
    <row r="201" spans="1:21" x14ac:dyDescent="0.3">
      <c r="A201" s="742"/>
      <c r="B201" s="984"/>
      <c r="C201" s="654">
        <v>2.7120000000000002</v>
      </c>
      <c r="D201" s="654">
        <v>3.3319999999999999</v>
      </c>
      <c r="E201" s="654"/>
      <c r="F201" s="655"/>
      <c r="G201" s="63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4">
        <v>70620090087</v>
      </c>
      <c r="S201" s="633"/>
      <c r="T201" s="633"/>
      <c r="U201" s="750"/>
    </row>
    <row r="202" spans="1:21" x14ac:dyDescent="0.3">
      <c r="A202" s="742"/>
      <c r="B202" s="984"/>
      <c r="C202" s="654"/>
      <c r="D202" s="654"/>
      <c r="E202" s="654"/>
      <c r="F202" s="655"/>
      <c r="G202" s="63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4">
        <v>70620090161</v>
      </c>
      <c r="S202" s="633"/>
      <c r="T202" s="633"/>
      <c r="U202" s="750"/>
    </row>
    <row r="203" spans="1:21" ht="15" thickBot="1" x14ac:dyDescent="0.35">
      <c r="A203" s="644"/>
      <c r="B203" s="985"/>
      <c r="C203" s="46">
        <v>3.3319999999999999</v>
      </c>
      <c r="D203" s="46">
        <v>3.4910000000000001</v>
      </c>
      <c r="E203" s="646"/>
      <c r="F203" s="648"/>
      <c r="G203" s="634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20">
        <v>70620090168</v>
      </c>
      <c r="S203" s="634"/>
      <c r="T203" s="634"/>
      <c r="U203" s="745"/>
    </row>
    <row r="204" spans="1:21" ht="14.4" customHeight="1" x14ac:dyDescent="0.3">
      <c r="A204" s="604" t="s">
        <v>1879</v>
      </c>
      <c r="B204" s="983" t="s">
        <v>1880</v>
      </c>
      <c r="C204" s="43">
        <v>0</v>
      </c>
      <c r="D204" s="43">
        <v>0.36099999999999999</v>
      </c>
      <c r="E204" s="645">
        <v>0.55500000000000005</v>
      </c>
      <c r="F204" s="647">
        <v>2220</v>
      </c>
      <c r="G204" s="641" t="s">
        <v>368</v>
      </c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4" t="s">
        <v>1881</v>
      </c>
      <c r="S204" s="641"/>
      <c r="T204" s="641" t="s">
        <v>1690</v>
      </c>
      <c r="U204" s="744"/>
    </row>
    <row r="205" spans="1:21" ht="40.950000000000003" customHeight="1" thickBot="1" x14ac:dyDescent="0.35">
      <c r="A205" s="606"/>
      <c r="B205" s="985"/>
      <c r="C205" s="46">
        <v>0.36099999999999999</v>
      </c>
      <c r="D205" s="46">
        <v>0.55500000000000005</v>
      </c>
      <c r="E205" s="646"/>
      <c r="F205" s="648"/>
      <c r="G205" s="634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19" t="s">
        <v>1882</v>
      </c>
      <c r="S205" s="634"/>
      <c r="T205" s="634"/>
      <c r="U205" s="745"/>
    </row>
    <row r="206" spans="1:21" ht="14.4" customHeight="1" x14ac:dyDescent="0.3">
      <c r="A206" s="643" t="s">
        <v>1883</v>
      </c>
      <c r="B206" s="983" t="s">
        <v>1884</v>
      </c>
      <c r="C206" s="43">
        <v>0</v>
      </c>
      <c r="D206" s="43">
        <v>0.54200000000000004</v>
      </c>
      <c r="E206" s="645">
        <v>3.4260000000000002</v>
      </c>
      <c r="F206" s="647">
        <v>13704</v>
      </c>
      <c r="G206" s="641" t="s">
        <v>368</v>
      </c>
      <c r="H206" s="33"/>
      <c r="I206" s="34"/>
      <c r="J206" s="348"/>
      <c r="K206" s="34"/>
      <c r="L206" s="34"/>
      <c r="M206" s="33"/>
      <c r="N206" s="33"/>
      <c r="O206" s="33"/>
      <c r="P206" s="33"/>
      <c r="Q206" s="33"/>
      <c r="R206" s="34" t="s">
        <v>1885</v>
      </c>
      <c r="S206" s="641"/>
      <c r="T206" s="641" t="s">
        <v>1690</v>
      </c>
      <c r="U206" s="744"/>
    </row>
    <row r="207" spans="1:21" x14ac:dyDescent="0.3">
      <c r="A207" s="742"/>
      <c r="B207" s="984"/>
      <c r="C207" s="48">
        <v>0.54200000000000004</v>
      </c>
      <c r="D207" s="48">
        <v>2.2480000000000002</v>
      </c>
      <c r="E207" s="654"/>
      <c r="F207" s="655"/>
      <c r="G207" s="633"/>
      <c r="H207" s="13"/>
      <c r="I207" s="13"/>
      <c r="J207" s="347"/>
      <c r="K207" s="13"/>
      <c r="L207" s="13"/>
      <c r="M207" s="13"/>
      <c r="N207" s="13"/>
      <c r="O207" s="13"/>
      <c r="P207" s="13"/>
      <c r="Q207" s="13"/>
      <c r="R207" s="13" t="s">
        <v>1886</v>
      </c>
      <c r="S207" s="633"/>
      <c r="T207" s="633"/>
      <c r="U207" s="750"/>
    </row>
    <row r="208" spans="1:21" x14ac:dyDescent="0.3">
      <c r="A208" s="742"/>
      <c r="B208" s="984"/>
      <c r="C208" s="654">
        <v>2.2480000000000002</v>
      </c>
      <c r="D208" s="654">
        <v>2.4860000000000002</v>
      </c>
      <c r="E208" s="654"/>
      <c r="F208" s="655"/>
      <c r="G208" s="63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 t="s">
        <v>1887</v>
      </c>
      <c r="S208" s="633"/>
      <c r="T208" s="633"/>
      <c r="U208" s="750"/>
    </row>
    <row r="209" spans="1:21" x14ac:dyDescent="0.3">
      <c r="A209" s="742"/>
      <c r="B209" s="984"/>
      <c r="C209" s="654"/>
      <c r="D209" s="654"/>
      <c r="E209" s="654"/>
      <c r="F209" s="655"/>
      <c r="G209" s="63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 t="s">
        <v>1888</v>
      </c>
      <c r="S209" s="633"/>
      <c r="T209" s="633"/>
      <c r="U209" s="750"/>
    </row>
    <row r="210" spans="1:21" x14ac:dyDescent="0.3">
      <c r="A210" s="742"/>
      <c r="B210" s="984"/>
      <c r="C210" s="654">
        <v>2.4860000000000002</v>
      </c>
      <c r="D210" s="654">
        <v>3.194</v>
      </c>
      <c r="E210" s="654"/>
      <c r="F210" s="655"/>
      <c r="G210" s="63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 t="s">
        <v>1889</v>
      </c>
      <c r="S210" s="633"/>
      <c r="T210" s="633"/>
      <c r="U210" s="750"/>
    </row>
    <row r="211" spans="1:21" x14ac:dyDescent="0.3">
      <c r="A211" s="742"/>
      <c r="B211" s="984"/>
      <c r="C211" s="654"/>
      <c r="D211" s="654"/>
      <c r="E211" s="654"/>
      <c r="F211" s="655"/>
      <c r="G211" s="633"/>
      <c r="H211" s="13"/>
      <c r="I211" s="13"/>
      <c r="J211" s="347"/>
      <c r="K211" s="13"/>
      <c r="L211" s="13"/>
      <c r="M211" s="13"/>
      <c r="N211" s="13"/>
      <c r="O211" s="13"/>
      <c r="P211" s="13"/>
      <c r="Q211" s="13"/>
      <c r="R211" s="13" t="s">
        <v>1890</v>
      </c>
      <c r="S211" s="633"/>
      <c r="T211" s="633"/>
      <c r="U211" s="750"/>
    </row>
    <row r="212" spans="1:21" x14ac:dyDescent="0.3">
      <c r="A212" s="742"/>
      <c r="B212" s="984"/>
      <c r="C212" s="654"/>
      <c r="D212" s="654"/>
      <c r="E212" s="654"/>
      <c r="F212" s="655"/>
      <c r="G212" s="633"/>
      <c r="H212" s="13"/>
      <c r="I212" s="13"/>
      <c r="J212" s="347"/>
      <c r="K212" s="13"/>
      <c r="L212" s="13"/>
      <c r="M212" s="13"/>
      <c r="N212" s="13"/>
      <c r="O212" s="13"/>
      <c r="P212" s="13"/>
      <c r="Q212" s="13"/>
      <c r="R212" s="13" t="s">
        <v>1891</v>
      </c>
      <c r="S212" s="633"/>
      <c r="T212" s="633"/>
      <c r="U212" s="750"/>
    </row>
    <row r="213" spans="1:21" x14ac:dyDescent="0.3">
      <c r="A213" s="742"/>
      <c r="B213" s="984"/>
      <c r="C213" s="654"/>
      <c r="D213" s="654"/>
      <c r="E213" s="654"/>
      <c r="F213" s="655"/>
      <c r="G213" s="633"/>
      <c r="H213" s="13"/>
      <c r="I213" s="13"/>
      <c r="J213" s="347"/>
      <c r="K213" s="13"/>
      <c r="L213" s="13"/>
      <c r="M213" s="13"/>
      <c r="N213" s="13"/>
      <c r="O213" s="13"/>
      <c r="P213" s="13"/>
      <c r="Q213" s="13"/>
      <c r="R213" s="13" t="s">
        <v>1892</v>
      </c>
      <c r="S213" s="633"/>
      <c r="T213" s="633"/>
      <c r="U213" s="750"/>
    </row>
    <row r="214" spans="1:21" x14ac:dyDescent="0.3">
      <c r="A214" s="742"/>
      <c r="B214" s="984"/>
      <c r="C214" s="654"/>
      <c r="D214" s="654"/>
      <c r="E214" s="654"/>
      <c r="F214" s="655"/>
      <c r="G214" s="63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 t="s">
        <v>1893</v>
      </c>
      <c r="S214" s="633"/>
      <c r="T214" s="633"/>
      <c r="U214" s="750"/>
    </row>
    <row r="215" spans="1:21" x14ac:dyDescent="0.3">
      <c r="A215" s="742"/>
      <c r="B215" s="984"/>
      <c r="C215" s="48">
        <v>3.194</v>
      </c>
      <c r="D215" s="48">
        <v>3.2959999999999998</v>
      </c>
      <c r="E215" s="654"/>
      <c r="F215" s="655"/>
      <c r="G215" s="63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 t="s">
        <v>1894</v>
      </c>
      <c r="S215" s="633"/>
      <c r="T215" s="633"/>
      <c r="U215" s="750"/>
    </row>
    <row r="216" spans="1:21" ht="15" thickBot="1" x14ac:dyDescent="0.35">
      <c r="A216" s="644"/>
      <c r="B216" s="985"/>
      <c r="C216" s="46">
        <v>3.2959999999999998</v>
      </c>
      <c r="D216" s="46">
        <v>3.4260000000000002</v>
      </c>
      <c r="E216" s="646"/>
      <c r="F216" s="648"/>
      <c r="G216" s="634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>
        <v>70620080154</v>
      </c>
      <c r="S216" s="634"/>
      <c r="T216" s="634"/>
      <c r="U216" s="745"/>
    </row>
    <row r="217" spans="1:21" ht="14.4" customHeight="1" x14ac:dyDescent="0.3">
      <c r="A217" s="604" t="s">
        <v>1895</v>
      </c>
      <c r="B217" s="983" t="s">
        <v>1896</v>
      </c>
      <c r="C217" s="645">
        <v>0</v>
      </c>
      <c r="D217" s="645">
        <v>0.129</v>
      </c>
      <c r="E217" s="645">
        <v>0.26100000000000001</v>
      </c>
      <c r="F217" s="647">
        <v>1044</v>
      </c>
      <c r="G217" s="641" t="s">
        <v>368</v>
      </c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4">
        <v>70620080032</v>
      </c>
      <c r="S217" s="641"/>
      <c r="T217" s="641" t="s">
        <v>1690</v>
      </c>
      <c r="U217" s="744"/>
    </row>
    <row r="218" spans="1:21" x14ac:dyDescent="0.3">
      <c r="A218" s="605"/>
      <c r="B218" s="984"/>
      <c r="C218" s="654"/>
      <c r="D218" s="654"/>
      <c r="E218" s="654"/>
      <c r="F218" s="655"/>
      <c r="G218" s="633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3" t="s">
        <v>1897</v>
      </c>
      <c r="S218" s="633"/>
      <c r="T218" s="633"/>
      <c r="U218" s="750"/>
    </row>
    <row r="219" spans="1:21" x14ac:dyDescent="0.3">
      <c r="A219" s="605"/>
      <c r="B219" s="984"/>
      <c r="C219" s="654">
        <v>0.129</v>
      </c>
      <c r="D219" s="654">
        <v>0.26100000000000001</v>
      </c>
      <c r="E219" s="654"/>
      <c r="F219" s="655"/>
      <c r="G219" s="633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3" t="s">
        <v>1898</v>
      </c>
      <c r="S219" s="633"/>
      <c r="T219" s="633"/>
      <c r="U219" s="750"/>
    </row>
    <row r="220" spans="1:21" ht="15" thickBot="1" x14ac:dyDescent="0.35">
      <c r="A220" s="606"/>
      <c r="B220" s="985"/>
      <c r="C220" s="646"/>
      <c r="D220" s="646"/>
      <c r="E220" s="646"/>
      <c r="F220" s="648"/>
      <c r="G220" s="634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19" t="s">
        <v>1899</v>
      </c>
      <c r="S220" s="634"/>
      <c r="T220" s="634"/>
      <c r="U220" s="745"/>
    </row>
    <row r="221" spans="1:21" ht="14.4" customHeight="1" x14ac:dyDescent="0.3">
      <c r="A221" s="604" t="s">
        <v>1900</v>
      </c>
      <c r="B221" s="983" t="s">
        <v>1901</v>
      </c>
      <c r="C221" s="645">
        <v>0</v>
      </c>
      <c r="D221" s="645">
        <v>0.40500000000000003</v>
      </c>
      <c r="E221" s="645">
        <v>1.548</v>
      </c>
      <c r="F221" s="647">
        <v>6192</v>
      </c>
      <c r="G221" s="641" t="s">
        <v>368</v>
      </c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 t="s">
        <v>1902</v>
      </c>
      <c r="S221" s="641"/>
      <c r="T221" s="641" t="s">
        <v>1690</v>
      </c>
      <c r="U221" s="744"/>
    </row>
    <row r="222" spans="1:21" x14ac:dyDescent="0.3">
      <c r="A222" s="605"/>
      <c r="B222" s="984"/>
      <c r="C222" s="654"/>
      <c r="D222" s="654"/>
      <c r="E222" s="654"/>
      <c r="F222" s="655"/>
      <c r="G222" s="633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3" t="s">
        <v>1903</v>
      </c>
      <c r="S222" s="633"/>
      <c r="T222" s="633"/>
      <c r="U222" s="750"/>
    </row>
    <row r="223" spans="1:21" x14ac:dyDescent="0.3">
      <c r="A223" s="605"/>
      <c r="B223" s="984"/>
      <c r="C223" s="654"/>
      <c r="D223" s="654"/>
      <c r="E223" s="654"/>
      <c r="F223" s="655"/>
      <c r="G223" s="633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3" t="s">
        <v>1904</v>
      </c>
      <c r="S223" s="633"/>
      <c r="T223" s="633"/>
      <c r="U223" s="750"/>
    </row>
    <row r="224" spans="1:21" ht="15" thickBot="1" x14ac:dyDescent="0.35">
      <c r="A224" s="606"/>
      <c r="B224" s="985"/>
      <c r="C224" s="46">
        <v>0.40500000000000003</v>
      </c>
      <c r="D224" s="46">
        <v>1.548</v>
      </c>
      <c r="E224" s="646"/>
      <c r="F224" s="648"/>
      <c r="G224" s="634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19" t="s">
        <v>1905</v>
      </c>
      <c r="S224" s="634"/>
      <c r="T224" s="634"/>
      <c r="U224" s="745"/>
    </row>
    <row r="225" spans="1:21" ht="54" customHeight="1" thickBot="1" x14ac:dyDescent="0.35">
      <c r="A225" s="22" t="s">
        <v>1906</v>
      </c>
      <c r="B225" s="344" t="s">
        <v>1907</v>
      </c>
      <c r="C225" s="41">
        <v>0</v>
      </c>
      <c r="D225" s="41">
        <v>0.19700000000000001</v>
      </c>
      <c r="E225" s="41">
        <v>0.19700000000000001</v>
      </c>
      <c r="F225" s="4">
        <v>788</v>
      </c>
      <c r="G225" s="3" t="s">
        <v>368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27" t="s">
        <v>1908</v>
      </c>
      <c r="S225" s="3"/>
      <c r="T225" s="3" t="s">
        <v>1690</v>
      </c>
      <c r="U225" s="5" t="s">
        <v>67</v>
      </c>
    </row>
    <row r="226" spans="1:21" ht="14.4" customHeight="1" x14ac:dyDescent="0.3">
      <c r="A226" s="604" t="s">
        <v>1909</v>
      </c>
      <c r="B226" s="983" t="s">
        <v>1910</v>
      </c>
      <c r="C226" s="43">
        <v>0</v>
      </c>
      <c r="D226" s="43">
        <v>3.1E-2</v>
      </c>
      <c r="E226" s="645">
        <v>0.32100000000000001</v>
      </c>
      <c r="F226" s="647">
        <v>1284</v>
      </c>
      <c r="G226" s="641" t="s">
        <v>368</v>
      </c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4" t="s">
        <v>1911</v>
      </c>
      <c r="S226" s="641"/>
      <c r="T226" s="641" t="s">
        <v>1690</v>
      </c>
      <c r="U226" s="744"/>
    </row>
    <row r="227" spans="1:21" x14ac:dyDescent="0.3">
      <c r="A227" s="605"/>
      <c r="B227" s="984"/>
      <c r="C227" s="48">
        <v>3.1E-2</v>
      </c>
      <c r="D227" s="48">
        <v>0.193</v>
      </c>
      <c r="E227" s="654"/>
      <c r="F227" s="655"/>
      <c r="G227" s="633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3">
        <v>70620110460</v>
      </c>
      <c r="S227" s="633"/>
      <c r="T227" s="633"/>
      <c r="U227" s="750"/>
    </row>
    <row r="228" spans="1:21" ht="29.4" customHeight="1" thickBot="1" x14ac:dyDescent="0.35">
      <c r="A228" s="606"/>
      <c r="B228" s="985"/>
      <c r="C228" s="46">
        <v>0.193</v>
      </c>
      <c r="D228" s="46">
        <v>0.32100000000000001</v>
      </c>
      <c r="E228" s="646"/>
      <c r="F228" s="648"/>
      <c r="G228" s="634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19" t="s">
        <v>1912</v>
      </c>
      <c r="S228" s="634"/>
      <c r="T228" s="634"/>
      <c r="U228" s="745"/>
    </row>
    <row r="229" spans="1:21" ht="14.4" customHeight="1" x14ac:dyDescent="0.3">
      <c r="A229" s="604" t="s">
        <v>1913</v>
      </c>
      <c r="B229" s="983" t="s">
        <v>1914</v>
      </c>
      <c r="C229" s="645">
        <v>0</v>
      </c>
      <c r="D229" s="645">
        <v>0.33</v>
      </c>
      <c r="E229" s="645">
        <v>0.85199999999999998</v>
      </c>
      <c r="F229" s="647">
        <v>3408</v>
      </c>
      <c r="G229" s="641" t="s">
        <v>368</v>
      </c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4" t="s">
        <v>1915</v>
      </c>
      <c r="S229" s="641"/>
      <c r="T229" s="641" t="s">
        <v>1690</v>
      </c>
      <c r="U229" s="744"/>
    </row>
    <row r="230" spans="1:21" x14ac:dyDescent="0.3">
      <c r="A230" s="605"/>
      <c r="B230" s="984"/>
      <c r="C230" s="654"/>
      <c r="D230" s="654"/>
      <c r="E230" s="654"/>
      <c r="F230" s="655"/>
      <c r="G230" s="633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3" t="s">
        <v>1916</v>
      </c>
      <c r="S230" s="633"/>
      <c r="T230" s="633"/>
      <c r="U230" s="750"/>
    </row>
    <row r="231" spans="1:21" x14ac:dyDescent="0.3">
      <c r="A231" s="605"/>
      <c r="B231" s="984"/>
      <c r="C231" s="48">
        <v>0.33</v>
      </c>
      <c r="D231" s="48">
        <v>0.68700000000000006</v>
      </c>
      <c r="E231" s="654"/>
      <c r="F231" s="655"/>
      <c r="G231" s="633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3">
        <v>70620110462</v>
      </c>
      <c r="S231" s="633"/>
      <c r="T231" s="633"/>
      <c r="U231" s="750"/>
    </row>
    <row r="232" spans="1:21" x14ac:dyDescent="0.3">
      <c r="A232" s="605"/>
      <c r="B232" s="984"/>
      <c r="C232" s="654">
        <v>0.68700000000000006</v>
      </c>
      <c r="D232" s="654">
        <v>0.85199999999999998</v>
      </c>
      <c r="E232" s="654"/>
      <c r="F232" s="655"/>
      <c r="G232" s="633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3" t="s">
        <v>1917</v>
      </c>
      <c r="S232" s="633"/>
      <c r="T232" s="633"/>
      <c r="U232" s="750"/>
    </row>
    <row r="233" spans="1:21" x14ac:dyDescent="0.3">
      <c r="A233" s="605"/>
      <c r="B233" s="984"/>
      <c r="C233" s="654"/>
      <c r="D233" s="654"/>
      <c r="E233" s="654"/>
      <c r="F233" s="655"/>
      <c r="G233" s="633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3" t="s">
        <v>1918</v>
      </c>
      <c r="S233" s="633"/>
      <c r="T233" s="633"/>
      <c r="U233" s="750"/>
    </row>
    <row r="234" spans="1:21" ht="15" thickBot="1" x14ac:dyDescent="0.35">
      <c r="A234" s="606"/>
      <c r="B234" s="985"/>
      <c r="C234" s="646"/>
      <c r="D234" s="646"/>
      <c r="E234" s="646"/>
      <c r="F234" s="648"/>
      <c r="G234" s="634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19" t="s">
        <v>1919</v>
      </c>
      <c r="S234" s="634"/>
      <c r="T234" s="634"/>
      <c r="U234" s="745"/>
    </row>
    <row r="235" spans="1:21" ht="14.4" customHeight="1" x14ac:dyDescent="0.3">
      <c r="A235" s="643" t="s">
        <v>1920</v>
      </c>
      <c r="B235" s="983" t="s">
        <v>1921</v>
      </c>
      <c r="C235" s="43">
        <v>0</v>
      </c>
      <c r="D235" s="43">
        <v>0.107</v>
      </c>
      <c r="E235" s="645">
        <v>1.5940000000000001</v>
      </c>
      <c r="F235" s="647">
        <v>6376</v>
      </c>
      <c r="G235" s="641" t="s">
        <v>368</v>
      </c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4" t="s">
        <v>1922</v>
      </c>
      <c r="S235" s="641"/>
      <c r="T235" s="641" t="s">
        <v>1690</v>
      </c>
      <c r="U235" s="744"/>
    </row>
    <row r="236" spans="1:21" x14ac:dyDescent="0.3">
      <c r="A236" s="742"/>
      <c r="B236" s="984"/>
      <c r="C236" s="654">
        <v>0.107</v>
      </c>
      <c r="D236" s="654">
        <v>0.69799999999999995</v>
      </c>
      <c r="E236" s="654"/>
      <c r="F236" s="655"/>
      <c r="G236" s="633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3" t="s">
        <v>1923</v>
      </c>
      <c r="S236" s="633"/>
      <c r="T236" s="633"/>
      <c r="U236" s="750"/>
    </row>
    <row r="237" spans="1:21" x14ac:dyDescent="0.3">
      <c r="A237" s="742"/>
      <c r="B237" s="984"/>
      <c r="C237" s="654"/>
      <c r="D237" s="654"/>
      <c r="E237" s="654"/>
      <c r="F237" s="655"/>
      <c r="G237" s="633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3" t="s">
        <v>1924</v>
      </c>
      <c r="S237" s="633"/>
      <c r="T237" s="633"/>
      <c r="U237" s="750"/>
    </row>
    <row r="238" spans="1:21" x14ac:dyDescent="0.3">
      <c r="A238" s="742"/>
      <c r="B238" s="984"/>
      <c r="C238" s="654"/>
      <c r="D238" s="654"/>
      <c r="E238" s="654"/>
      <c r="F238" s="655"/>
      <c r="G238" s="633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3" t="s">
        <v>1925</v>
      </c>
      <c r="S238" s="633"/>
      <c r="T238" s="633"/>
      <c r="U238" s="750"/>
    </row>
    <row r="239" spans="1:21" x14ac:dyDescent="0.3">
      <c r="A239" s="742"/>
      <c r="B239" s="984"/>
      <c r="C239" s="48">
        <v>0.69799999999999995</v>
      </c>
      <c r="D239" s="48">
        <v>0.85499999999999998</v>
      </c>
      <c r="E239" s="654"/>
      <c r="F239" s="655"/>
      <c r="G239" s="63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 t="s">
        <v>1926</v>
      </c>
      <c r="S239" s="633"/>
      <c r="T239" s="633"/>
      <c r="U239" s="750"/>
    </row>
    <row r="240" spans="1:21" x14ac:dyDescent="0.3">
      <c r="A240" s="742"/>
      <c r="B240" s="984"/>
      <c r="C240" s="48">
        <v>0.85499999999999998</v>
      </c>
      <c r="D240" s="48">
        <v>1.2010000000000001</v>
      </c>
      <c r="E240" s="654"/>
      <c r="F240" s="655"/>
      <c r="G240" s="63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 t="s">
        <v>1927</v>
      </c>
      <c r="S240" s="633"/>
      <c r="T240" s="633"/>
      <c r="U240" s="750"/>
    </row>
    <row r="241" spans="1:21" x14ac:dyDescent="0.3">
      <c r="A241" s="742"/>
      <c r="B241" s="984"/>
      <c r="C241" s="48">
        <v>1.2010000000000001</v>
      </c>
      <c r="D241" s="48">
        <v>1.401</v>
      </c>
      <c r="E241" s="654"/>
      <c r="F241" s="655"/>
      <c r="G241" s="63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 t="s">
        <v>1926</v>
      </c>
      <c r="S241" s="633"/>
      <c r="T241" s="633"/>
      <c r="U241" s="750"/>
    </row>
    <row r="242" spans="1:21" ht="15" thickBot="1" x14ac:dyDescent="0.35">
      <c r="A242" s="644"/>
      <c r="B242" s="985"/>
      <c r="C242" s="46">
        <v>1.401</v>
      </c>
      <c r="D242" s="46">
        <v>1.5940000000000001</v>
      </c>
      <c r="E242" s="646"/>
      <c r="F242" s="648"/>
      <c r="G242" s="634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 t="s">
        <v>1928</v>
      </c>
      <c r="S242" s="634"/>
      <c r="T242" s="634"/>
      <c r="U242" s="745"/>
    </row>
    <row r="243" spans="1:21" ht="14.4" customHeight="1" x14ac:dyDescent="0.3">
      <c r="A243" s="1000" t="s">
        <v>1929</v>
      </c>
      <c r="B243" s="618" t="s">
        <v>1930</v>
      </c>
      <c r="C243" s="79">
        <v>0</v>
      </c>
      <c r="D243" s="79">
        <v>0.33800000000000002</v>
      </c>
      <c r="E243" s="694">
        <v>1.9810000000000001</v>
      </c>
      <c r="F243" s="999">
        <v>7923</v>
      </c>
      <c r="G243" s="632" t="s">
        <v>368</v>
      </c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>
        <v>70620110466</v>
      </c>
      <c r="S243" s="632"/>
      <c r="T243" s="632" t="s">
        <v>1690</v>
      </c>
      <c r="U243" s="642" t="s">
        <v>67</v>
      </c>
    </row>
    <row r="244" spans="1:21" x14ac:dyDescent="0.3">
      <c r="A244" s="742"/>
      <c r="B244" s="608"/>
      <c r="C244" s="79">
        <v>0.33800000000000002</v>
      </c>
      <c r="D244" s="48">
        <v>0.52200000000000002</v>
      </c>
      <c r="E244" s="695"/>
      <c r="F244" s="655"/>
      <c r="G244" s="63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 t="s">
        <v>1931</v>
      </c>
      <c r="S244" s="633"/>
      <c r="T244" s="633"/>
      <c r="U244" s="636"/>
    </row>
    <row r="245" spans="1:21" x14ac:dyDescent="0.3">
      <c r="A245" s="742"/>
      <c r="B245" s="608"/>
      <c r="C245" s="48">
        <v>0.52200000000000002</v>
      </c>
      <c r="D245" s="48">
        <v>1.0109999999999999</v>
      </c>
      <c r="E245" s="695"/>
      <c r="F245" s="655"/>
      <c r="G245" s="63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 t="s">
        <v>1932</v>
      </c>
      <c r="S245" s="633"/>
      <c r="T245" s="633"/>
      <c r="U245" s="636"/>
    </row>
    <row r="246" spans="1:21" x14ac:dyDescent="0.3">
      <c r="A246" s="742"/>
      <c r="B246" s="608"/>
      <c r="C246" s="48">
        <v>1.0109999999999999</v>
      </c>
      <c r="D246" s="48">
        <v>1.679</v>
      </c>
      <c r="E246" s="695"/>
      <c r="F246" s="655"/>
      <c r="G246" s="63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 t="s">
        <v>1933</v>
      </c>
      <c r="S246" s="633"/>
      <c r="T246" s="633"/>
      <c r="U246" s="636"/>
    </row>
    <row r="247" spans="1:21" ht="15" thickBot="1" x14ac:dyDescent="0.35">
      <c r="A247" s="742"/>
      <c r="B247" s="608"/>
      <c r="C247" s="48">
        <v>1.679</v>
      </c>
      <c r="D247" s="48">
        <v>1.9810000000000001</v>
      </c>
      <c r="E247" s="696"/>
      <c r="F247" s="655"/>
      <c r="G247" s="63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 t="s">
        <v>1934</v>
      </c>
      <c r="S247" s="633"/>
      <c r="T247" s="633"/>
      <c r="U247" s="636"/>
    </row>
    <row r="248" spans="1:21" ht="14.4" customHeight="1" x14ac:dyDescent="0.3">
      <c r="A248" s="643" t="s">
        <v>1935</v>
      </c>
      <c r="B248" s="983" t="s">
        <v>1936</v>
      </c>
      <c r="C248" s="43">
        <v>0</v>
      </c>
      <c r="D248" s="43">
        <v>0.95499999999999996</v>
      </c>
      <c r="E248" s="645">
        <f>D250</f>
        <v>1.46</v>
      </c>
      <c r="F248" s="647">
        <v>11680</v>
      </c>
      <c r="G248" s="641" t="s">
        <v>368</v>
      </c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4">
        <v>70620110406</v>
      </c>
      <c r="S248" s="641"/>
      <c r="T248" s="641" t="s">
        <v>1690</v>
      </c>
      <c r="U248" s="744"/>
    </row>
    <row r="249" spans="1:21" x14ac:dyDescent="0.3">
      <c r="A249" s="742"/>
      <c r="B249" s="984"/>
      <c r="C249" s="48">
        <f>D248</f>
        <v>0.95499999999999996</v>
      </c>
      <c r="D249" s="48">
        <f>C249+0.05</f>
        <v>1.0049999999999999</v>
      </c>
      <c r="E249" s="654"/>
      <c r="F249" s="655"/>
      <c r="G249" s="633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3" t="s">
        <v>1937</v>
      </c>
      <c r="S249" s="633"/>
      <c r="T249" s="633"/>
      <c r="U249" s="750"/>
    </row>
    <row r="250" spans="1:21" ht="24" customHeight="1" thickBot="1" x14ac:dyDescent="0.35">
      <c r="A250" s="644"/>
      <c r="B250" s="985"/>
      <c r="C250" s="46">
        <f>D249</f>
        <v>1.0049999999999999</v>
      </c>
      <c r="D250" s="46">
        <v>1.46</v>
      </c>
      <c r="E250" s="646"/>
      <c r="F250" s="648"/>
      <c r="G250" s="634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>
        <v>70620110403</v>
      </c>
      <c r="S250" s="634"/>
      <c r="T250" s="634"/>
      <c r="U250" s="745"/>
    </row>
    <row r="251" spans="1:21" ht="52.2" customHeight="1" thickBot="1" x14ac:dyDescent="0.35">
      <c r="A251" s="40" t="s">
        <v>1938</v>
      </c>
      <c r="B251" s="344" t="s">
        <v>1939</v>
      </c>
      <c r="C251" s="41">
        <v>0</v>
      </c>
      <c r="D251" s="41">
        <v>0.307</v>
      </c>
      <c r="E251" s="41">
        <v>0.307</v>
      </c>
      <c r="F251" s="4">
        <v>1228</v>
      </c>
      <c r="G251" s="3" t="s">
        <v>368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27">
        <v>70620110402</v>
      </c>
      <c r="S251" s="3"/>
      <c r="T251" s="3" t="s">
        <v>1690</v>
      </c>
      <c r="U251" s="5" t="s">
        <v>67</v>
      </c>
    </row>
    <row r="252" spans="1:21" ht="52.95" customHeight="1" thickBot="1" x14ac:dyDescent="0.35">
      <c r="A252" s="40" t="s">
        <v>1940</v>
      </c>
      <c r="B252" s="344" t="s">
        <v>1941</v>
      </c>
      <c r="C252" s="41">
        <v>0</v>
      </c>
      <c r="D252" s="41">
        <v>0.33200000000000002</v>
      </c>
      <c r="E252" s="41">
        <v>0.33200000000000002</v>
      </c>
      <c r="F252" s="4">
        <v>1660</v>
      </c>
      <c r="G252" s="3" t="s">
        <v>368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27">
        <v>70620110465</v>
      </c>
      <c r="S252" s="3"/>
      <c r="T252" s="3" t="s">
        <v>1690</v>
      </c>
      <c r="U252" s="110"/>
    </row>
    <row r="253" spans="1:21" ht="14.4" customHeight="1" x14ac:dyDescent="0.3">
      <c r="A253" s="643" t="s">
        <v>1942</v>
      </c>
      <c r="B253" s="983" t="s">
        <v>1943</v>
      </c>
      <c r="C253" s="43">
        <v>0</v>
      </c>
      <c r="D253" s="43">
        <v>0.154</v>
      </c>
      <c r="E253" s="645">
        <v>1.216</v>
      </c>
      <c r="F253" s="647">
        <v>6080</v>
      </c>
      <c r="G253" s="641" t="s">
        <v>368</v>
      </c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4">
        <v>70620010059</v>
      </c>
      <c r="S253" s="641"/>
      <c r="T253" s="641" t="s">
        <v>1690</v>
      </c>
      <c r="U253" s="744"/>
    </row>
    <row r="254" spans="1:21" x14ac:dyDescent="0.3">
      <c r="A254" s="742"/>
      <c r="B254" s="984"/>
      <c r="C254" s="48">
        <v>0.154</v>
      </c>
      <c r="D254" s="48">
        <v>0.63500000000000001</v>
      </c>
      <c r="E254" s="654"/>
      <c r="F254" s="655"/>
      <c r="G254" s="63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 t="s">
        <v>1765</v>
      </c>
      <c r="S254" s="633"/>
      <c r="T254" s="633"/>
      <c r="U254" s="750"/>
    </row>
    <row r="255" spans="1:21" ht="22.95" customHeight="1" thickBot="1" x14ac:dyDescent="0.35">
      <c r="A255" s="644"/>
      <c r="B255" s="985"/>
      <c r="C255" s="46">
        <v>0.63500000000000001</v>
      </c>
      <c r="D255" s="46">
        <v>1.216</v>
      </c>
      <c r="E255" s="646"/>
      <c r="F255" s="648"/>
      <c r="G255" s="634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>
        <v>70620010038</v>
      </c>
      <c r="S255" s="634"/>
      <c r="T255" s="634"/>
      <c r="U255" s="745"/>
    </row>
    <row r="256" spans="1:21" ht="48.6" thickBot="1" x14ac:dyDescent="0.35">
      <c r="A256" s="22" t="s">
        <v>1944</v>
      </c>
      <c r="B256" s="344" t="s">
        <v>1945</v>
      </c>
      <c r="C256" s="41">
        <v>0</v>
      </c>
      <c r="D256" s="41">
        <v>0.34300000000000003</v>
      </c>
      <c r="E256" s="41">
        <v>0.34300000000000003</v>
      </c>
      <c r="F256" s="4">
        <v>1715</v>
      </c>
      <c r="G256" s="3" t="s">
        <v>368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27">
        <v>70620120104</v>
      </c>
      <c r="S256" s="3"/>
      <c r="T256" s="3" t="s">
        <v>1690</v>
      </c>
      <c r="U256" s="110"/>
    </row>
    <row r="257" spans="1:21" ht="14.4" customHeight="1" x14ac:dyDescent="0.3">
      <c r="A257" s="643" t="s">
        <v>1946</v>
      </c>
      <c r="B257" s="983" t="s">
        <v>1947</v>
      </c>
      <c r="C257" s="645">
        <v>0</v>
      </c>
      <c r="D257" s="645">
        <v>0.28999999999999998</v>
      </c>
      <c r="E257" s="645">
        <v>0.95699999999999996</v>
      </c>
      <c r="F257" s="647">
        <v>3827</v>
      </c>
      <c r="G257" s="641" t="s">
        <v>368</v>
      </c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4" t="s">
        <v>1948</v>
      </c>
      <c r="S257" s="641"/>
      <c r="T257" s="641" t="s">
        <v>1690</v>
      </c>
      <c r="U257" s="642" t="s">
        <v>67</v>
      </c>
    </row>
    <row r="258" spans="1:21" x14ac:dyDescent="0.3">
      <c r="A258" s="742"/>
      <c r="B258" s="984"/>
      <c r="C258" s="654"/>
      <c r="D258" s="654"/>
      <c r="E258" s="654"/>
      <c r="F258" s="655"/>
      <c r="G258" s="633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3" t="s">
        <v>1949</v>
      </c>
      <c r="S258" s="633"/>
      <c r="T258" s="633"/>
      <c r="U258" s="636"/>
    </row>
    <row r="259" spans="1:21" x14ac:dyDescent="0.3">
      <c r="A259" s="742"/>
      <c r="B259" s="984"/>
      <c r="C259" s="654"/>
      <c r="D259" s="654"/>
      <c r="E259" s="654"/>
      <c r="F259" s="655"/>
      <c r="G259" s="63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 t="s">
        <v>1948</v>
      </c>
      <c r="S259" s="633"/>
      <c r="T259" s="633"/>
      <c r="U259" s="636"/>
    </row>
    <row r="260" spans="1:21" x14ac:dyDescent="0.3">
      <c r="A260" s="742"/>
      <c r="B260" s="984"/>
      <c r="C260" s="654">
        <v>0.28999999999999998</v>
      </c>
      <c r="D260" s="654">
        <v>0.95699999999999996</v>
      </c>
      <c r="E260" s="654"/>
      <c r="F260" s="655"/>
      <c r="G260" s="63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 t="s">
        <v>1950</v>
      </c>
      <c r="S260" s="633"/>
      <c r="T260" s="633"/>
      <c r="U260" s="636"/>
    </row>
    <row r="261" spans="1:21" x14ac:dyDescent="0.3">
      <c r="A261" s="742"/>
      <c r="B261" s="984"/>
      <c r="C261" s="654"/>
      <c r="D261" s="654"/>
      <c r="E261" s="654"/>
      <c r="F261" s="655"/>
      <c r="G261" s="63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 t="s">
        <v>1951</v>
      </c>
      <c r="S261" s="633"/>
      <c r="T261" s="633"/>
      <c r="U261" s="636"/>
    </row>
    <row r="262" spans="1:21" x14ac:dyDescent="0.3">
      <c r="A262" s="742"/>
      <c r="B262" s="984"/>
      <c r="C262" s="654"/>
      <c r="D262" s="654"/>
      <c r="E262" s="654"/>
      <c r="F262" s="655"/>
      <c r="G262" s="63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>
        <v>70620100067</v>
      </c>
      <c r="S262" s="633"/>
      <c r="T262" s="633"/>
      <c r="U262" s="636"/>
    </row>
    <row r="263" spans="1:21" ht="15" thickBot="1" x14ac:dyDescent="0.35">
      <c r="A263" s="644"/>
      <c r="B263" s="985"/>
      <c r="C263" s="646"/>
      <c r="D263" s="646"/>
      <c r="E263" s="646"/>
      <c r="F263" s="648"/>
      <c r="G263" s="634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 t="s">
        <v>1952</v>
      </c>
      <c r="S263" s="634"/>
      <c r="T263" s="634"/>
      <c r="U263" s="637"/>
    </row>
    <row r="264" spans="1:21" ht="14.4" customHeight="1" x14ac:dyDescent="0.3">
      <c r="A264" s="643" t="s">
        <v>1953</v>
      </c>
      <c r="B264" s="967" t="s">
        <v>1954</v>
      </c>
      <c r="C264" s="43">
        <v>0</v>
      </c>
      <c r="D264" s="43">
        <v>0.65</v>
      </c>
      <c r="E264" s="645">
        <v>0.90500000000000003</v>
      </c>
      <c r="F264" s="647">
        <v>4505</v>
      </c>
      <c r="G264" s="641" t="s">
        <v>368</v>
      </c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>
        <v>70620030107</v>
      </c>
      <c r="S264" s="641"/>
      <c r="T264" s="641" t="s">
        <v>1690</v>
      </c>
      <c r="U264" s="744"/>
    </row>
    <row r="265" spans="1:21" ht="40.950000000000003" customHeight="1" thickBot="1" x14ac:dyDescent="0.35">
      <c r="A265" s="644"/>
      <c r="B265" s="969"/>
      <c r="C265" s="46">
        <v>0.65</v>
      </c>
      <c r="D265" s="46">
        <v>0.90500000000000003</v>
      </c>
      <c r="E265" s="646"/>
      <c r="F265" s="648"/>
      <c r="G265" s="634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19" t="s">
        <v>1955</v>
      </c>
      <c r="S265" s="634"/>
      <c r="T265" s="634"/>
      <c r="U265" s="745"/>
    </row>
    <row r="266" spans="1:21" ht="14.4" customHeight="1" x14ac:dyDescent="0.3">
      <c r="A266" s="1000" t="s">
        <v>1956</v>
      </c>
      <c r="B266" s="618" t="s">
        <v>1957</v>
      </c>
      <c r="C266" s="79">
        <v>0</v>
      </c>
      <c r="D266" s="79">
        <v>4.1000000000000002E-2</v>
      </c>
      <c r="E266" s="695">
        <v>0.73599999999999999</v>
      </c>
      <c r="F266" s="999">
        <v>2945</v>
      </c>
      <c r="G266" s="632" t="s">
        <v>368</v>
      </c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8">
        <v>70620110466</v>
      </c>
      <c r="S266" s="632"/>
      <c r="T266" s="632" t="s">
        <v>1690</v>
      </c>
      <c r="U266" s="749"/>
    </row>
    <row r="267" spans="1:21" x14ac:dyDescent="0.3">
      <c r="A267" s="742"/>
      <c r="B267" s="608"/>
      <c r="C267" s="79">
        <v>4.1000000000000002E-2</v>
      </c>
      <c r="D267" s="48">
        <v>0.16400000000000001</v>
      </c>
      <c r="E267" s="695"/>
      <c r="F267" s="655"/>
      <c r="G267" s="633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3" t="s">
        <v>1958</v>
      </c>
      <c r="S267" s="633"/>
      <c r="T267" s="633"/>
      <c r="U267" s="750"/>
    </row>
    <row r="268" spans="1:21" x14ac:dyDescent="0.3">
      <c r="A268" s="742"/>
      <c r="B268" s="608"/>
      <c r="C268" s="48">
        <v>0.16400000000000001</v>
      </c>
      <c r="D268" s="48">
        <v>0.23100000000000001</v>
      </c>
      <c r="E268" s="695"/>
      <c r="F268" s="655"/>
      <c r="G268" s="633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3" t="s">
        <v>1959</v>
      </c>
      <c r="S268" s="633"/>
      <c r="T268" s="633"/>
      <c r="U268" s="750"/>
    </row>
    <row r="269" spans="1:21" x14ac:dyDescent="0.3">
      <c r="A269" s="742"/>
      <c r="B269" s="608"/>
      <c r="C269" s="48">
        <v>0.23100000000000001</v>
      </c>
      <c r="D269" s="48">
        <v>0.629</v>
      </c>
      <c r="E269" s="695"/>
      <c r="F269" s="655"/>
      <c r="G269" s="633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3" t="s">
        <v>1960</v>
      </c>
      <c r="S269" s="633"/>
      <c r="T269" s="633"/>
      <c r="U269" s="750"/>
    </row>
    <row r="270" spans="1:21" ht="15" thickBot="1" x14ac:dyDescent="0.35">
      <c r="A270" s="742"/>
      <c r="B270" s="608"/>
      <c r="C270" s="48">
        <v>0.629</v>
      </c>
      <c r="D270" s="48">
        <v>0.73599999999999999</v>
      </c>
      <c r="E270" s="696"/>
      <c r="F270" s="655"/>
      <c r="G270" s="633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3" t="s">
        <v>1961</v>
      </c>
      <c r="S270" s="633"/>
      <c r="T270" s="633"/>
      <c r="U270" s="750"/>
    </row>
    <row r="271" spans="1:21" ht="14.4" customHeight="1" x14ac:dyDescent="0.3">
      <c r="A271" s="643" t="s">
        <v>1962</v>
      </c>
      <c r="B271" s="983" t="s">
        <v>1963</v>
      </c>
      <c r="C271" s="43">
        <v>0</v>
      </c>
      <c r="D271" s="43">
        <v>0.152</v>
      </c>
      <c r="E271" s="645">
        <v>0.20699999999999999</v>
      </c>
      <c r="F271" s="647">
        <v>828</v>
      </c>
      <c r="G271" s="641" t="s">
        <v>368</v>
      </c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4" t="s">
        <v>1964</v>
      </c>
      <c r="S271" s="641"/>
      <c r="T271" s="641" t="s">
        <v>1690</v>
      </c>
      <c r="U271" s="744"/>
    </row>
    <row r="272" spans="1:21" x14ac:dyDescent="0.3">
      <c r="A272" s="742"/>
      <c r="B272" s="984"/>
      <c r="C272" s="48">
        <v>0.152</v>
      </c>
      <c r="D272" s="48">
        <v>0.16600000000000001</v>
      </c>
      <c r="E272" s="654"/>
      <c r="F272" s="655"/>
      <c r="G272" s="63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 t="s">
        <v>1965</v>
      </c>
      <c r="S272" s="633"/>
      <c r="T272" s="633"/>
      <c r="U272" s="750"/>
    </row>
    <row r="273" spans="1:32" ht="24.6" customHeight="1" thickBot="1" x14ac:dyDescent="0.35">
      <c r="A273" s="644"/>
      <c r="B273" s="985"/>
      <c r="C273" s="46">
        <v>0.16600000000000001</v>
      </c>
      <c r="D273" s="46">
        <v>0.20699999999999999</v>
      </c>
      <c r="E273" s="646"/>
      <c r="F273" s="648"/>
      <c r="G273" s="634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 t="s">
        <v>1966</v>
      </c>
      <c r="S273" s="634"/>
      <c r="T273" s="634"/>
      <c r="U273" s="745"/>
    </row>
    <row r="274" spans="1:32" ht="14.4" customHeight="1" x14ac:dyDescent="0.3">
      <c r="A274" s="643" t="s">
        <v>1967</v>
      </c>
      <c r="B274" s="967" t="s">
        <v>1968</v>
      </c>
      <c r="C274" s="43">
        <v>0</v>
      </c>
      <c r="D274" s="43">
        <v>0.125</v>
      </c>
      <c r="E274" s="645">
        <v>0.371</v>
      </c>
      <c r="F274" s="647">
        <v>1484</v>
      </c>
      <c r="G274" s="641" t="s">
        <v>368</v>
      </c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4">
        <v>70620060172</v>
      </c>
      <c r="S274" s="641"/>
      <c r="T274" s="641" t="s">
        <v>1690</v>
      </c>
      <c r="U274" s="744"/>
    </row>
    <row r="275" spans="1:32" ht="40.200000000000003" customHeight="1" thickBot="1" x14ac:dyDescent="0.35">
      <c r="A275" s="644"/>
      <c r="B275" s="969"/>
      <c r="C275" s="46">
        <v>0.125</v>
      </c>
      <c r="D275" s="46">
        <v>0.371</v>
      </c>
      <c r="E275" s="646"/>
      <c r="F275" s="648"/>
      <c r="G275" s="634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19" t="s">
        <v>1969</v>
      </c>
      <c r="S275" s="634"/>
      <c r="T275" s="634"/>
      <c r="U275" s="745"/>
    </row>
    <row r="276" spans="1:32" ht="14.4" customHeight="1" x14ac:dyDescent="0.3">
      <c r="A276" s="643" t="s">
        <v>1970</v>
      </c>
      <c r="B276" s="983" t="s">
        <v>1971</v>
      </c>
      <c r="C276" s="43">
        <v>0</v>
      </c>
      <c r="D276" s="43">
        <v>0.28899999999999998</v>
      </c>
      <c r="E276" s="645">
        <v>0.41099999999999998</v>
      </c>
      <c r="F276" s="647">
        <v>2466</v>
      </c>
      <c r="G276" s="641" t="s">
        <v>368</v>
      </c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4" t="s">
        <v>1972</v>
      </c>
      <c r="S276" s="641"/>
      <c r="T276" s="641" t="s">
        <v>1690</v>
      </c>
      <c r="U276" s="744"/>
    </row>
    <row r="277" spans="1:32" ht="45" customHeight="1" thickBot="1" x14ac:dyDescent="0.35">
      <c r="A277" s="644"/>
      <c r="B277" s="985"/>
      <c r="C277" s="46">
        <v>0.28899999999999998</v>
      </c>
      <c r="D277" s="46">
        <v>0.41099999999999998</v>
      </c>
      <c r="E277" s="646"/>
      <c r="F277" s="648"/>
      <c r="G277" s="634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 t="s">
        <v>1973</v>
      </c>
      <c r="S277" s="634"/>
      <c r="T277" s="634"/>
      <c r="U277" s="745"/>
    </row>
    <row r="279" spans="1:32" ht="24.6" x14ac:dyDescent="0.3">
      <c r="B279" s="61" t="s">
        <v>202</v>
      </c>
      <c r="T279" s="350"/>
      <c r="U279" s="135"/>
    </row>
    <row r="280" spans="1:32" x14ac:dyDescent="0.3">
      <c r="B280" s="61" t="s">
        <v>203</v>
      </c>
      <c r="C280" s="351"/>
      <c r="D280" s="351"/>
      <c r="E280" s="351"/>
      <c r="F280"/>
      <c r="G280"/>
      <c r="H280"/>
      <c r="T280" s="350"/>
      <c r="U280" s="135"/>
    </row>
    <row r="281" spans="1:32" x14ac:dyDescent="0.3">
      <c r="B281" s="61" t="s">
        <v>204</v>
      </c>
      <c r="C281" s="351"/>
      <c r="D281" s="351"/>
      <c r="E281" s="351"/>
      <c r="F281"/>
      <c r="G281"/>
      <c r="H281"/>
      <c r="T281" s="350"/>
      <c r="U281" s="135"/>
    </row>
    <row r="282" spans="1:32" ht="24.6" x14ac:dyDescent="0.3">
      <c r="B282" s="61" t="s">
        <v>205</v>
      </c>
      <c r="C282" s="351"/>
      <c r="D282" s="351"/>
      <c r="E282" s="351"/>
      <c r="F282"/>
      <c r="G282"/>
      <c r="H282"/>
      <c r="T282" s="350"/>
      <c r="U282" s="135"/>
    </row>
    <row r="283" spans="1:32" x14ac:dyDescent="0.3">
      <c r="B283"/>
      <c r="C283" s="351"/>
      <c r="D283" s="351"/>
      <c r="E283" s="351"/>
      <c r="F283"/>
      <c r="G283"/>
      <c r="H283"/>
      <c r="T283" s="350"/>
      <c r="U283" s="135"/>
    </row>
    <row r="284" spans="1:32" s="59" customFormat="1" ht="13.8" x14ac:dyDescent="0.25">
      <c r="A284" s="509"/>
      <c r="B284" s="509"/>
      <c r="C284" s="512" t="s">
        <v>3985</v>
      </c>
      <c r="D284" s="1001" t="s">
        <v>3986</v>
      </c>
      <c r="E284" s="1002"/>
      <c r="F284" s="1003"/>
      <c r="G284" s="509"/>
      <c r="H284" s="509"/>
      <c r="I284" s="509"/>
      <c r="J284" s="509"/>
      <c r="K284" s="509"/>
      <c r="L284" s="509"/>
      <c r="M284" s="509"/>
      <c r="N284" s="509"/>
      <c r="O284" s="509"/>
      <c r="P284" s="509"/>
      <c r="Q284" s="509"/>
      <c r="R284" s="509"/>
      <c r="S284" s="509"/>
      <c r="T284" s="509"/>
      <c r="U284" s="509"/>
      <c r="V284" s="509"/>
      <c r="W284" s="509"/>
      <c r="X284" s="509"/>
      <c r="Y284" s="509"/>
      <c r="Z284" s="509"/>
      <c r="AA284" s="509"/>
      <c r="AB284" s="509"/>
      <c r="AC284" s="509"/>
      <c r="AD284" s="509"/>
      <c r="AE284" s="510"/>
      <c r="AF284" s="510"/>
    </row>
    <row r="285" spans="1:32" s="59" customFormat="1" ht="13.8" x14ac:dyDescent="0.25">
      <c r="A285" s="509"/>
      <c r="B285" s="509"/>
      <c r="C285" s="509"/>
      <c r="D285" s="509"/>
      <c r="E285" s="509"/>
      <c r="F285" s="509"/>
      <c r="G285" s="509"/>
      <c r="H285" s="509"/>
      <c r="I285" s="509"/>
      <c r="J285" s="509"/>
      <c r="K285" s="509"/>
      <c r="L285" s="509"/>
      <c r="M285" s="509"/>
      <c r="N285" s="509"/>
      <c r="O285" s="509"/>
      <c r="P285" s="509"/>
      <c r="Q285" s="509"/>
      <c r="R285" s="509"/>
      <c r="S285" s="509"/>
      <c r="T285" s="509"/>
      <c r="U285" s="509"/>
      <c r="V285" s="509"/>
      <c r="W285" s="509"/>
      <c r="X285" s="509"/>
      <c r="Y285" s="509"/>
      <c r="Z285" s="509"/>
      <c r="AA285" s="509"/>
      <c r="AB285" s="509"/>
      <c r="AC285" s="509"/>
      <c r="AD285" s="509"/>
      <c r="AE285" s="510"/>
      <c r="AF285" s="510"/>
    </row>
    <row r="286" spans="1:32" s="59" customFormat="1" ht="13.8" x14ac:dyDescent="0.25">
      <c r="A286" s="509"/>
      <c r="B286" s="509"/>
      <c r="C286" s="509"/>
      <c r="D286" s="509"/>
      <c r="E286" s="509"/>
      <c r="F286" s="509"/>
      <c r="G286" s="509"/>
      <c r="H286" s="509"/>
      <c r="I286" s="509"/>
      <c r="J286" s="509"/>
      <c r="K286" s="509"/>
      <c r="L286" s="509"/>
      <c r="M286" s="509"/>
      <c r="N286" s="509"/>
      <c r="O286" s="509"/>
      <c r="P286" s="509"/>
      <c r="Q286" s="509"/>
      <c r="R286" s="509"/>
      <c r="S286" s="509"/>
      <c r="T286" s="509"/>
      <c r="U286" s="509"/>
      <c r="V286" s="509"/>
      <c r="W286" s="509"/>
      <c r="X286" s="509"/>
      <c r="Y286" s="509"/>
      <c r="Z286" s="509"/>
      <c r="AA286" s="509"/>
      <c r="AB286" s="509"/>
      <c r="AC286" s="509"/>
      <c r="AD286" s="509"/>
      <c r="AE286" s="417"/>
      <c r="AF286" s="510"/>
    </row>
    <row r="287" spans="1:32" s="59" customFormat="1" ht="13.8" x14ac:dyDescent="0.25">
      <c r="B287" s="60"/>
      <c r="C287" s="438" t="s">
        <v>3989</v>
      </c>
      <c r="D287" s="1004" t="s">
        <v>3990</v>
      </c>
      <c r="E287" s="1005"/>
      <c r="F287" s="1005"/>
      <c r="G287" s="1005"/>
      <c r="H287" s="1005"/>
      <c r="I287" s="1006"/>
      <c r="T287" s="60"/>
      <c r="U287" s="60"/>
    </row>
    <row r="288" spans="1:32" s="59" customFormat="1" ht="13.8" x14ac:dyDescent="0.25">
      <c r="B288" s="60"/>
      <c r="C288" s="438" t="s">
        <v>3987</v>
      </c>
      <c r="D288" s="1007" t="s">
        <v>3988</v>
      </c>
      <c r="E288" s="1008"/>
      <c r="F288" s="1008"/>
      <c r="G288" s="1008"/>
      <c r="H288" s="1008"/>
      <c r="I288" s="1009"/>
      <c r="T288" s="60"/>
      <c r="U288" s="60"/>
    </row>
    <row r="289" spans="1:22" s="59" customFormat="1" ht="13.8" x14ac:dyDescent="0.25">
      <c r="T289" s="60"/>
      <c r="U289" s="60"/>
    </row>
    <row r="290" spans="1:22" s="59" customFormat="1" ht="27.6" customHeight="1" x14ac:dyDescent="0.25">
      <c r="A290" s="469"/>
      <c r="B290" s="743" t="s">
        <v>3984</v>
      </c>
      <c r="C290" s="743"/>
      <c r="D290" s="743"/>
      <c r="E290" s="743"/>
      <c r="F290" s="743"/>
      <c r="G290" s="743"/>
      <c r="H290" s="743"/>
      <c r="I290" s="743"/>
      <c r="T290" s="304"/>
      <c r="U290" s="304"/>
    </row>
    <row r="291" spans="1:22" x14ac:dyDescent="0.3">
      <c r="T291" s="350"/>
      <c r="U291" s="135"/>
      <c r="V291" s="135"/>
    </row>
    <row r="292" spans="1:22" x14ac:dyDescent="0.3">
      <c r="T292" s="350"/>
      <c r="U292" s="135"/>
      <c r="V292" s="135"/>
    </row>
    <row r="293" spans="1:22" x14ac:dyDescent="0.3">
      <c r="T293" s="350"/>
      <c r="U293" s="135"/>
      <c r="V293" s="135"/>
    </row>
    <row r="294" spans="1:22" ht="13.95" customHeight="1" x14ac:dyDescent="0.3">
      <c r="T294" s="350"/>
      <c r="U294" s="135"/>
      <c r="V294" s="135"/>
    </row>
    <row r="295" spans="1:22" x14ac:dyDescent="0.3">
      <c r="T295" s="350"/>
      <c r="U295" s="135"/>
      <c r="V295" s="135"/>
    </row>
    <row r="296" spans="1:22" x14ac:dyDescent="0.3">
      <c r="T296" s="350"/>
      <c r="U296" s="135"/>
      <c r="V296" s="135"/>
    </row>
    <row r="297" spans="1:22" x14ac:dyDescent="0.3">
      <c r="T297" s="350"/>
      <c r="U297" s="135"/>
      <c r="V297" s="135"/>
    </row>
    <row r="298" spans="1:22" x14ac:dyDescent="0.3">
      <c r="T298" s="350"/>
      <c r="U298" s="135"/>
      <c r="V298" s="135"/>
    </row>
    <row r="299" spans="1:22" x14ac:dyDescent="0.3">
      <c r="T299" s="350"/>
      <c r="U299" s="135"/>
      <c r="V299" s="135"/>
    </row>
  </sheetData>
  <mergeCells count="485">
    <mergeCell ref="D284:F284"/>
    <mergeCell ref="D287:I287"/>
    <mergeCell ref="D288:I288"/>
    <mergeCell ref="B290:I290"/>
    <mergeCell ref="T276:T277"/>
    <mergeCell ref="U276:U277"/>
    <mergeCell ref="A276:A277"/>
    <mergeCell ref="B276:B277"/>
    <mergeCell ref="E276:E277"/>
    <mergeCell ref="F276:F277"/>
    <mergeCell ref="G276:G277"/>
    <mergeCell ref="S276:S277"/>
    <mergeCell ref="T271:T273"/>
    <mergeCell ref="U271:U273"/>
    <mergeCell ref="A274:A275"/>
    <mergeCell ref="B274:B275"/>
    <mergeCell ref="E274:E275"/>
    <mergeCell ref="F274:F275"/>
    <mergeCell ref="G274:G275"/>
    <mergeCell ref="S274:S275"/>
    <mergeCell ref="T274:T275"/>
    <mergeCell ref="U274:U275"/>
    <mergeCell ref="A271:A273"/>
    <mergeCell ref="B271:B273"/>
    <mergeCell ref="E271:E273"/>
    <mergeCell ref="F271:F273"/>
    <mergeCell ref="G271:G273"/>
    <mergeCell ref="S271:S273"/>
    <mergeCell ref="A264:A265"/>
    <mergeCell ref="B264:B265"/>
    <mergeCell ref="E264:E265"/>
    <mergeCell ref="F264:F265"/>
    <mergeCell ref="G264:G265"/>
    <mergeCell ref="S264:S265"/>
    <mergeCell ref="T264:T265"/>
    <mergeCell ref="U264:U265"/>
    <mergeCell ref="A266:A270"/>
    <mergeCell ref="B266:B270"/>
    <mergeCell ref="E266:E270"/>
    <mergeCell ref="F266:F270"/>
    <mergeCell ref="G266:G270"/>
    <mergeCell ref="S266:S270"/>
    <mergeCell ref="T266:T270"/>
    <mergeCell ref="U266:U270"/>
    <mergeCell ref="T253:T255"/>
    <mergeCell ref="U253:U255"/>
    <mergeCell ref="A257:A263"/>
    <mergeCell ref="B257:B263"/>
    <mergeCell ref="C257:C259"/>
    <mergeCell ref="D257:D259"/>
    <mergeCell ref="E257:E263"/>
    <mergeCell ref="F257:F263"/>
    <mergeCell ref="G257:G263"/>
    <mergeCell ref="S257:S263"/>
    <mergeCell ref="A253:A255"/>
    <mergeCell ref="B253:B255"/>
    <mergeCell ref="E253:E255"/>
    <mergeCell ref="F253:F255"/>
    <mergeCell ref="G253:G255"/>
    <mergeCell ref="S253:S255"/>
    <mergeCell ref="T257:T263"/>
    <mergeCell ref="U257:U263"/>
    <mergeCell ref="C260:C263"/>
    <mergeCell ref="D260:D263"/>
    <mergeCell ref="A243:A247"/>
    <mergeCell ref="B243:B247"/>
    <mergeCell ref="E243:E247"/>
    <mergeCell ref="F243:F247"/>
    <mergeCell ref="G243:G247"/>
    <mergeCell ref="S243:S247"/>
    <mergeCell ref="T243:T247"/>
    <mergeCell ref="U243:U247"/>
    <mergeCell ref="A248:A250"/>
    <mergeCell ref="B248:B250"/>
    <mergeCell ref="E248:E250"/>
    <mergeCell ref="F248:F250"/>
    <mergeCell ref="G248:G250"/>
    <mergeCell ref="S248:S250"/>
    <mergeCell ref="T248:T250"/>
    <mergeCell ref="U248:U250"/>
    <mergeCell ref="U229:U234"/>
    <mergeCell ref="C232:C234"/>
    <mergeCell ref="D232:D234"/>
    <mergeCell ref="A235:A242"/>
    <mergeCell ref="B235:B242"/>
    <mergeCell ref="E235:E242"/>
    <mergeCell ref="F235:F242"/>
    <mergeCell ref="G235:G242"/>
    <mergeCell ref="S235:S242"/>
    <mergeCell ref="T235:T242"/>
    <mergeCell ref="U235:U242"/>
    <mergeCell ref="C236:C238"/>
    <mergeCell ref="D236:D238"/>
    <mergeCell ref="A229:A234"/>
    <mergeCell ref="B229:B234"/>
    <mergeCell ref="C229:C230"/>
    <mergeCell ref="D229:D230"/>
    <mergeCell ref="E229:E234"/>
    <mergeCell ref="F229:F234"/>
    <mergeCell ref="G229:G234"/>
    <mergeCell ref="S229:S234"/>
    <mergeCell ref="T229:T234"/>
    <mergeCell ref="G221:G224"/>
    <mergeCell ref="S221:S224"/>
    <mergeCell ref="T221:T224"/>
    <mergeCell ref="U221:U224"/>
    <mergeCell ref="A226:A228"/>
    <mergeCell ref="B226:B228"/>
    <mergeCell ref="E226:E228"/>
    <mergeCell ref="F226:F228"/>
    <mergeCell ref="G226:G228"/>
    <mergeCell ref="S226:S228"/>
    <mergeCell ref="A221:A224"/>
    <mergeCell ref="B221:B224"/>
    <mergeCell ref="C221:C223"/>
    <mergeCell ref="D221:D223"/>
    <mergeCell ref="E221:E224"/>
    <mergeCell ref="F221:F224"/>
    <mergeCell ref="T226:T228"/>
    <mergeCell ref="U226:U228"/>
    <mergeCell ref="G217:G220"/>
    <mergeCell ref="S217:S220"/>
    <mergeCell ref="T217:T220"/>
    <mergeCell ref="U217:U220"/>
    <mergeCell ref="C219:C220"/>
    <mergeCell ref="D219:D220"/>
    <mergeCell ref="A217:A220"/>
    <mergeCell ref="B217:B220"/>
    <mergeCell ref="C217:C218"/>
    <mergeCell ref="D217:D218"/>
    <mergeCell ref="E217:E220"/>
    <mergeCell ref="F217:F220"/>
    <mergeCell ref="T206:T216"/>
    <mergeCell ref="U206:U216"/>
    <mergeCell ref="C208:C209"/>
    <mergeCell ref="D208:D209"/>
    <mergeCell ref="C210:C214"/>
    <mergeCell ref="D210:D214"/>
    <mergeCell ref="G204:G205"/>
    <mergeCell ref="S204:S205"/>
    <mergeCell ref="T204:T205"/>
    <mergeCell ref="U204:U205"/>
    <mergeCell ref="A206:A216"/>
    <mergeCell ref="B206:B216"/>
    <mergeCell ref="E206:E216"/>
    <mergeCell ref="F206:F216"/>
    <mergeCell ref="G206:G216"/>
    <mergeCell ref="S206:S216"/>
    <mergeCell ref="C201:C202"/>
    <mergeCell ref="D201:D202"/>
    <mergeCell ref="A204:A205"/>
    <mergeCell ref="B204:B205"/>
    <mergeCell ref="E204:E205"/>
    <mergeCell ref="F204:F205"/>
    <mergeCell ref="C189:C190"/>
    <mergeCell ref="D189:D190"/>
    <mergeCell ref="T192:T195"/>
    <mergeCell ref="U192:U195"/>
    <mergeCell ref="A196:A203"/>
    <mergeCell ref="B196:B203"/>
    <mergeCell ref="E196:E203"/>
    <mergeCell ref="F196:F203"/>
    <mergeCell ref="G196:G203"/>
    <mergeCell ref="S196:S203"/>
    <mergeCell ref="T196:T203"/>
    <mergeCell ref="U196:U203"/>
    <mergeCell ref="A192:A195"/>
    <mergeCell ref="B192:B195"/>
    <mergeCell ref="E192:E195"/>
    <mergeCell ref="F192:F195"/>
    <mergeCell ref="G192:G195"/>
    <mergeCell ref="S192:S195"/>
    <mergeCell ref="T170:T175"/>
    <mergeCell ref="U170:U175"/>
    <mergeCell ref="F174:F175"/>
    <mergeCell ref="A176:A191"/>
    <mergeCell ref="B176:B191"/>
    <mergeCell ref="E176:E191"/>
    <mergeCell ref="F176:F191"/>
    <mergeCell ref="G176:G191"/>
    <mergeCell ref="S176:S191"/>
    <mergeCell ref="T176:T191"/>
    <mergeCell ref="A170:A175"/>
    <mergeCell ref="B170:B175"/>
    <mergeCell ref="E170:E175"/>
    <mergeCell ref="F170:F173"/>
    <mergeCell ref="G170:G173"/>
    <mergeCell ref="S170:S175"/>
    <mergeCell ref="U176:U191"/>
    <mergeCell ref="R177:R178"/>
    <mergeCell ref="C181:C183"/>
    <mergeCell ref="D181:D183"/>
    <mergeCell ref="C184:C185"/>
    <mergeCell ref="D184:D185"/>
    <mergeCell ref="C186:C188"/>
    <mergeCell ref="D186:D188"/>
    <mergeCell ref="G161:G169"/>
    <mergeCell ref="S161:S169"/>
    <mergeCell ref="T161:T169"/>
    <mergeCell ref="U161:U169"/>
    <mergeCell ref="C164:C169"/>
    <mergeCell ref="D164:D169"/>
    <mergeCell ref="A161:A169"/>
    <mergeCell ref="B161:B169"/>
    <mergeCell ref="C161:C163"/>
    <mergeCell ref="D161:D163"/>
    <mergeCell ref="E161:E169"/>
    <mergeCell ref="F161:F169"/>
    <mergeCell ref="T154:T160"/>
    <mergeCell ref="U154:U160"/>
    <mergeCell ref="C155:C157"/>
    <mergeCell ref="D155:D157"/>
    <mergeCell ref="C158:C160"/>
    <mergeCell ref="D158:D160"/>
    <mergeCell ref="A154:A160"/>
    <mergeCell ref="B154:B160"/>
    <mergeCell ref="E154:E160"/>
    <mergeCell ref="F154:F160"/>
    <mergeCell ref="G154:G160"/>
    <mergeCell ref="S154:S160"/>
    <mergeCell ref="G149:G153"/>
    <mergeCell ref="S149:S153"/>
    <mergeCell ref="T149:T153"/>
    <mergeCell ref="U149:U153"/>
    <mergeCell ref="C151:C152"/>
    <mergeCell ref="D151:D152"/>
    <mergeCell ref="T142:T148"/>
    <mergeCell ref="U142:U148"/>
    <mergeCell ref="C143:C148"/>
    <mergeCell ref="D143:D148"/>
    <mergeCell ref="G142:G148"/>
    <mergeCell ref="S142:S148"/>
    <mergeCell ref="A149:A153"/>
    <mergeCell ref="B149:B153"/>
    <mergeCell ref="C149:C150"/>
    <mergeCell ref="D149:D150"/>
    <mergeCell ref="E149:E153"/>
    <mergeCell ref="F149:F153"/>
    <mergeCell ref="A142:A148"/>
    <mergeCell ref="B142:B148"/>
    <mergeCell ref="E142:E148"/>
    <mergeCell ref="F142:F147"/>
    <mergeCell ref="A139:A141"/>
    <mergeCell ref="B139:B141"/>
    <mergeCell ref="E139:E141"/>
    <mergeCell ref="S139:S141"/>
    <mergeCell ref="T139:T141"/>
    <mergeCell ref="U139:U141"/>
    <mergeCell ref="F140:F141"/>
    <mergeCell ref="G140:G141"/>
    <mergeCell ref="U134:U136"/>
    <mergeCell ref="A137:A138"/>
    <mergeCell ref="B137:B138"/>
    <mergeCell ref="E137:E138"/>
    <mergeCell ref="F137:F138"/>
    <mergeCell ref="G137:G138"/>
    <mergeCell ref="S137:S138"/>
    <mergeCell ref="T137:T138"/>
    <mergeCell ref="U137:U138"/>
    <mergeCell ref="U132:U133"/>
    <mergeCell ref="A134:A136"/>
    <mergeCell ref="B134:B136"/>
    <mergeCell ref="C134:C136"/>
    <mergeCell ref="D134:D136"/>
    <mergeCell ref="E134:E136"/>
    <mergeCell ref="F134:F136"/>
    <mergeCell ref="G134:G136"/>
    <mergeCell ref="S134:S136"/>
    <mergeCell ref="T134:T136"/>
    <mergeCell ref="A132:A133"/>
    <mergeCell ref="B132:B133"/>
    <mergeCell ref="E132:E133"/>
    <mergeCell ref="G132:G133"/>
    <mergeCell ref="S132:S133"/>
    <mergeCell ref="T132:T133"/>
    <mergeCell ref="E128:E131"/>
    <mergeCell ref="F128:F131"/>
    <mergeCell ref="G128:G131"/>
    <mergeCell ref="S128:S131"/>
    <mergeCell ref="T128:T131"/>
    <mergeCell ref="U128:U131"/>
    <mergeCell ref="C123:C124"/>
    <mergeCell ref="D123:D124"/>
    <mergeCell ref="A128:A131"/>
    <mergeCell ref="B128:B131"/>
    <mergeCell ref="C128:C129"/>
    <mergeCell ref="D128:D129"/>
    <mergeCell ref="T118:T120"/>
    <mergeCell ref="U118:U120"/>
    <mergeCell ref="A121:A127"/>
    <mergeCell ref="B121:B127"/>
    <mergeCell ref="E121:E127"/>
    <mergeCell ref="F121:F127"/>
    <mergeCell ref="G121:G127"/>
    <mergeCell ref="S121:S127"/>
    <mergeCell ref="T121:T127"/>
    <mergeCell ref="U121:U127"/>
    <mergeCell ref="A118:A120"/>
    <mergeCell ref="B118:B120"/>
    <mergeCell ref="C118:C119"/>
    <mergeCell ref="D118:D119"/>
    <mergeCell ref="E118:E120"/>
    <mergeCell ref="F118:F120"/>
    <mergeCell ref="G118:G120"/>
    <mergeCell ref="S118:S120"/>
    <mergeCell ref="U99:U109"/>
    <mergeCell ref="C94:C96"/>
    <mergeCell ref="D94:D96"/>
    <mergeCell ref="C97:C98"/>
    <mergeCell ref="D97:D98"/>
    <mergeCell ref="T110:T116"/>
    <mergeCell ref="U110:U116"/>
    <mergeCell ref="A99:A109"/>
    <mergeCell ref="B99:B109"/>
    <mergeCell ref="C103:C105"/>
    <mergeCell ref="D103:D105"/>
    <mergeCell ref="C106:C109"/>
    <mergeCell ref="D106:D109"/>
    <mergeCell ref="E99:E109"/>
    <mergeCell ref="F99:F109"/>
    <mergeCell ref="A110:A116"/>
    <mergeCell ref="B110:B116"/>
    <mergeCell ref="E110:E116"/>
    <mergeCell ref="F110:F116"/>
    <mergeCell ref="G110:G116"/>
    <mergeCell ref="S110:S116"/>
    <mergeCell ref="G99:G109"/>
    <mergeCell ref="S99:S109"/>
    <mergeCell ref="T99:T109"/>
    <mergeCell ref="T85:T86"/>
    <mergeCell ref="U85:U86"/>
    <mergeCell ref="A87:A98"/>
    <mergeCell ref="B87:B98"/>
    <mergeCell ref="E87:E98"/>
    <mergeCell ref="F87:F98"/>
    <mergeCell ref="G87:G98"/>
    <mergeCell ref="S87:S98"/>
    <mergeCell ref="T87:T98"/>
    <mergeCell ref="U87:U98"/>
    <mergeCell ref="A85:A86"/>
    <mergeCell ref="B85:B86"/>
    <mergeCell ref="E85:E86"/>
    <mergeCell ref="F85:F86"/>
    <mergeCell ref="G85:G86"/>
    <mergeCell ref="S85:S86"/>
    <mergeCell ref="U59:U80"/>
    <mergeCell ref="A81:A84"/>
    <mergeCell ref="B81:B84"/>
    <mergeCell ref="E81:E84"/>
    <mergeCell ref="F81:F84"/>
    <mergeCell ref="G81:G84"/>
    <mergeCell ref="S81:S84"/>
    <mergeCell ref="T81:T84"/>
    <mergeCell ref="U81:U84"/>
    <mergeCell ref="A59:A80"/>
    <mergeCell ref="B59:B80"/>
    <mergeCell ref="C59:C80"/>
    <mergeCell ref="D59:D80"/>
    <mergeCell ref="E59:E80"/>
    <mergeCell ref="F59:F80"/>
    <mergeCell ref="G59:G80"/>
    <mergeCell ref="S59:S80"/>
    <mergeCell ref="T59:T80"/>
    <mergeCell ref="T44:T52"/>
    <mergeCell ref="U44:U52"/>
    <mergeCell ref="C49:C51"/>
    <mergeCell ref="D49:D51"/>
    <mergeCell ref="A53:A58"/>
    <mergeCell ref="B53:B58"/>
    <mergeCell ref="E53:E58"/>
    <mergeCell ref="F53:F58"/>
    <mergeCell ref="G53:G58"/>
    <mergeCell ref="S53:S58"/>
    <mergeCell ref="A44:A52"/>
    <mergeCell ref="B44:B52"/>
    <mergeCell ref="E44:E52"/>
    <mergeCell ref="F44:F52"/>
    <mergeCell ref="G44:G52"/>
    <mergeCell ref="S44:S52"/>
    <mergeCell ref="T53:T58"/>
    <mergeCell ref="U53:U58"/>
    <mergeCell ref="A31:A32"/>
    <mergeCell ref="B31:B32"/>
    <mergeCell ref="E31:E32"/>
    <mergeCell ref="F31:F32"/>
    <mergeCell ref="G31:G32"/>
    <mergeCell ref="S31:S32"/>
    <mergeCell ref="T31:T32"/>
    <mergeCell ref="U31:U32"/>
    <mergeCell ref="A33:A43"/>
    <mergeCell ref="B33:B43"/>
    <mergeCell ref="E33:E43"/>
    <mergeCell ref="F33:F43"/>
    <mergeCell ref="G33:G43"/>
    <mergeCell ref="S33:S43"/>
    <mergeCell ref="T33:T43"/>
    <mergeCell ref="U33:U43"/>
    <mergeCell ref="G25:G26"/>
    <mergeCell ref="S25:S26"/>
    <mergeCell ref="T25:T26"/>
    <mergeCell ref="U25:U26"/>
    <mergeCell ref="A28:A30"/>
    <mergeCell ref="B28:B30"/>
    <mergeCell ref="C28:C30"/>
    <mergeCell ref="D28:D30"/>
    <mergeCell ref="E28:E30"/>
    <mergeCell ref="F28:F30"/>
    <mergeCell ref="A25:A26"/>
    <mergeCell ref="B25:B26"/>
    <mergeCell ref="C25:C26"/>
    <mergeCell ref="D25:D26"/>
    <mergeCell ref="E25:E26"/>
    <mergeCell ref="F25:F26"/>
    <mergeCell ref="G28:G30"/>
    <mergeCell ref="S28:S30"/>
    <mergeCell ref="T28:T30"/>
    <mergeCell ref="U28:U30"/>
    <mergeCell ref="A23:A24"/>
    <mergeCell ref="B23:B24"/>
    <mergeCell ref="S23:S24"/>
    <mergeCell ref="T23:T24"/>
    <mergeCell ref="U23:U24"/>
    <mergeCell ref="T18:T19"/>
    <mergeCell ref="U18:U19"/>
    <mergeCell ref="A20:A22"/>
    <mergeCell ref="B20:B22"/>
    <mergeCell ref="C20:C22"/>
    <mergeCell ref="D20:D22"/>
    <mergeCell ref="E20:E22"/>
    <mergeCell ref="F20:F22"/>
    <mergeCell ref="G20:G22"/>
    <mergeCell ref="S20:S22"/>
    <mergeCell ref="A18:A19"/>
    <mergeCell ref="B18:B19"/>
    <mergeCell ref="C18:C19"/>
    <mergeCell ref="D18:D19"/>
    <mergeCell ref="E18:E19"/>
    <mergeCell ref="R18:R19"/>
    <mergeCell ref="S18:S19"/>
    <mergeCell ref="T20:T22"/>
    <mergeCell ref="U20:U22"/>
    <mergeCell ref="H4:H5"/>
    <mergeCell ref="I4:J4"/>
    <mergeCell ref="S9:S10"/>
    <mergeCell ref="T9:T10"/>
    <mergeCell ref="U9:U10"/>
    <mergeCell ref="A13:A17"/>
    <mergeCell ref="B13:B17"/>
    <mergeCell ref="E13:E17"/>
    <mergeCell ref="F13:F17"/>
    <mergeCell ref="G13:G17"/>
    <mergeCell ref="S13:S17"/>
    <mergeCell ref="T13:T17"/>
    <mergeCell ref="U13:U17"/>
    <mergeCell ref="C14:C17"/>
    <mergeCell ref="D14:D17"/>
    <mergeCell ref="A9:A10"/>
    <mergeCell ref="B9:B10"/>
    <mergeCell ref="E9:E10"/>
    <mergeCell ref="F9:F10"/>
    <mergeCell ref="G9:G10"/>
    <mergeCell ref="G18:G19"/>
    <mergeCell ref="E23:E24"/>
    <mergeCell ref="A1:U1"/>
    <mergeCell ref="A2:A5"/>
    <mergeCell ref="B2:B5"/>
    <mergeCell ref="C2:Q2"/>
    <mergeCell ref="R2:R3"/>
    <mergeCell ref="S2:S5"/>
    <mergeCell ref="T2:U5"/>
    <mergeCell ref="C3:G3"/>
    <mergeCell ref="H3:O3"/>
    <mergeCell ref="P3:Q3"/>
    <mergeCell ref="Q4:Q5"/>
    <mergeCell ref="R4:R5"/>
    <mergeCell ref="O4:O5"/>
    <mergeCell ref="P4:P5"/>
    <mergeCell ref="K4:K5"/>
    <mergeCell ref="L4:L5"/>
    <mergeCell ref="M4:M5"/>
    <mergeCell ref="N4:N5"/>
    <mergeCell ref="C4:D4"/>
    <mergeCell ref="E4:E5"/>
    <mergeCell ref="F4:F5"/>
    <mergeCell ref="G4:G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6B0FF-C9C0-48D9-A1F0-EFD3ECBBDCFD}">
  <dimension ref="A1:AF97"/>
  <sheetViews>
    <sheetView workbookViewId="0">
      <selection activeCell="V5" sqref="V5"/>
    </sheetView>
  </sheetViews>
  <sheetFormatPr defaultColWidth="9" defaultRowHeight="13.8" x14ac:dyDescent="0.25"/>
  <cols>
    <col min="1" max="1" width="15.5546875" style="313" bestFit="1" customWidth="1"/>
    <col min="2" max="2" width="30.33203125" style="313" customWidth="1"/>
    <col min="3" max="3" width="10.5546875" style="313" customWidth="1"/>
    <col min="4" max="5" width="9" style="313"/>
    <col min="6" max="6" width="13.6640625" style="313" customWidth="1"/>
    <col min="7" max="7" width="9" style="313"/>
    <col min="8" max="8" width="11.6640625" style="313" customWidth="1"/>
    <col min="9" max="9" width="15.33203125" style="313" customWidth="1"/>
    <col min="10" max="10" width="17.33203125" style="313" customWidth="1"/>
    <col min="11" max="11" width="9" style="313"/>
    <col min="12" max="12" width="12.33203125" style="313" customWidth="1"/>
    <col min="13" max="13" width="13.6640625" style="313" customWidth="1"/>
    <col min="14" max="14" width="13.44140625" style="313" customWidth="1"/>
    <col min="15" max="15" width="12.6640625" style="313" customWidth="1"/>
    <col min="16" max="17" width="9" style="313"/>
    <col min="18" max="18" width="17.109375" style="336" customWidth="1"/>
    <col min="19" max="19" width="19" style="313" customWidth="1"/>
    <col min="20" max="20" width="19" style="337" customWidth="1"/>
    <col min="21" max="21" width="27.44140625" style="313" customWidth="1"/>
    <col min="22" max="22" width="51.109375" style="313" customWidth="1"/>
    <col min="23" max="16384" width="9" style="313"/>
  </cols>
  <sheetData>
    <row r="1" spans="1:21" ht="18" thickBot="1" x14ac:dyDescent="0.3">
      <c r="A1" s="1012" t="s">
        <v>1585</v>
      </c>
      <c r="B1" s="1012"/>
      <c r="C1" s="1012"/>
      <c r="D1" s="1012"/>
      <c r="E1" s="1012"/>
      <c r="F1" s="1012"/>
      <c r="G1" s="1012"/>
      <c r="H1" s="1012"/>
      <c r="I1" s="1012"/>
      <c r="J1" s="1012"/>
      <c r="K1" s="1012"/>
      <c r="L1" s="1012"/>
      <c r="M1" s="1012"/>
      <c r="N1" s="1012"/>
      <c r="O1" s="1012"/>
      <c r="P1" s="1012"/>
      <c r="Q1" s="1012"/>
      <c r="R1" s="1012"/>
      <c r="S1" s="1012"/>
      <c r="T1" s="1012"/>
      <c r="U1" s="1012"/>
    </row>
    <row r="2" spans="1:21" s="314" customFormat="1" ht="32.25" customHeight="1" thickBot="1" x14ac:dyDescent="0.35">
      <c r="A2" s="1013" t="s">
        <v>1</v>
      </c>
      <c r="B2" s="1015" t="s">
        <v>2</v>
      </c>
      <c r="C2" s="1017" t="s">
        <v>3</v>
      </c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9"/>
      <c r="R2" s="1015" t="s">
        <v>4</v>
      </c>
      <c r="S2" s="1021" t="s">
        <v>5</v>
      </c>
      <c r="T2" s="1023" t="s">
        <v>207</v>
      </c>
      <c r="U2" s="1025" t="s">
        <v>7</v>
      </c>
    </row>
    <row r="3" spans="1:21" s="314" customFormat="1" ht="31.95" customHeight="1" thickBot="1" x14ac:dyDescent="0.35">
      <c r="A3" s="1014"/>
      <c r="B3" s="1016"/>
      <c r="C3" s="1027" t="s">
        <v>8</v>
      </c>
      <c r="D3" s="1028"/>
      <c r="E3" s="1028"/>
      <c r="F3" s="1028"/>
      <c r="G3" s="1029"/>
      <c r="H3" s="1027" t="s">
        <v>9</v>
      </c>
      <c r="I3" s="1028"/>
      <c r="J3" s="1028"/>
      <c r="K3" s="1028"/>
      <c r="L3" s="1028"/>
      <c r="M3" s="1028"/>
      <c r="N3" s="1028"/>
      <c r="O3" s="1029"/>
      <c r="P3" s="1027" t="s">
        <v>10</v>
      </c>
      <c r="Q3" s="1029"/>
      <c r="R3" s="1020"/>
      <c r="S3" s="1022"/>
      <c r="T3" s="1024"/>
      <c r="U3" s="1026"/>
    </row>
    <row r="4" spans="1:21" s="314" customFormat="1" ht="48.75" customHeight="1" thickBot="1" x14ac:dyDescent="0.35">
      <c r="A4" s="1014"/>
      <c r="B4" s="1016"/>
      <c r="C4" s="1027" t="s">
        <v>11</v>
      </c>
      <c r="D4" s="1029"/>
      <c r="E4" s="1030" t="s">
        <v>12</v>
      </c>
      <c r="F4" s="1030" t="s">
        <v>13</v>
      </c>
      <c r="G4" s="1030" t="s">
        <v>14</v>
      </c>
      <c r="H4" s="1030" t="s">
        <v>15</v>
      </c>
      <c r="I4" s="1027" t="s">
        <v>16</v>
      </c>
      <c r="J4" s="1029"/>
      <c r="K4" s="1030" t="s">
        <v>17</v>
      </c>
      <c r="L4" s="1030" t="s">
        <v>13</v>
      </c>
      <c r="M4" s="1030" t="s">
        <v>18</v>
      </c>
      <c r="N4" s="1030" t="s">
        <v>19</v>
      </c>
      <c r="O4" s="1030" t="s">
        <v>210</v>
      </c>
      <c r="P4" s="1030" t="s">
        <v>20</v>
      </c>
      <c r="Q4" s="1030" t="s">
        <v>17</v>
      </c>
      <c r="R4" s="1030" t="s">
        <v>21</v>
      </c>
      <c r="S4" s="1022"/>
      <c r="T4" s="1024"/>
      <c r="U4" s="1026"/>
    </row>
    <row r="5" spans="1:21" s="314" customFormat="1" ht="28.2" thickBot="1" x14ac:dyDescent="0.35">
      <c r="A5" s="1014"/>
      <c r="B5" s="1016"/>
      <c r="C5" s="315" t="s">
        <v>22</v>
      </c>
      <c r="D5" s="315" t="s">
        <v>23</v>
      </c>
      <c r="E5" s="1016"/>
      <c r="F5" s="1016"/>
      <c r="G5" s="1016"/>
      <c r="H5" s="1016"/>
      <c r="I5" s="315" t="s">
        <v>24</v>
      </c>
      <c r="J5" s="315" t="s">
        <v>25</v>
      </c>
      <c r="K5" s="1016"/>
      <c r="L5" s="1016"/>
      <c r="M5" s="1016"/>
      <c r="N5" s="1016"/>
      <c r="O5" s="1016"/>
      <c r="P5" s="1016"/>
      <c r="Q5" s="1016"/>
      <c r="R5" s="1016"/>
      <c r="S5" s="1022"/>
      <c r="T5" s="1024"/>
      <c r="U5" s="1026"/>
    </row>
    <row r="6" spans="1:21" s="314" customFormat="1" ht="14.4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66">
        <v>21</v>
      </c>
    </row>
    <row r="7" spans="1:21" x14ac:dyDescent="0.25">
      <c r="A7" s="906" t="s">
        <v>1586</v>
      </c>
      <c r="B7" s="1031" t="s">
        <v>351</v>
      </c>
      <c r="C7" s="245">
        <v>0</v>
      </c>
      <c r="D7" s="245">
        <v>0.4</v>
      </c>
      <c r="E7" s="1032">
        <v>1.45</v>
      </c>
      <c r="F7" s="316">
        <f>D7*6*1000</f>
        <v>2400.0000000000005</v>
      </c>
      <c r="G7" s="244" t="s">
        <v>32</v>
      </c>
      <c r="H7" s="316"/>
      <c r="I7" s="244"/>
      <c r="J7" s="244"/>
      <c r="K7" s="244"/>
      <c r="L7" s="244"/>
      <c r="M7" s="244"/>
      <c r="N7" s="244"/>
      <c r="O7" s="244"/>
      <c r="P7" s="244"/>
      <c r="Q7" s="244"/>
      <c r="R7" s="317" t="s">
        <v>1587</v>
      </c>
      <c r="S7" s="1033" t="s">
        <v>1588</v>
      </c>
      <c r="T7" s="1035" t="s">
        <v>252</v>
      </c>
      <c r="U7" s="1037"/>
    </row>
    <row r="8" spans="1:21" x14ac:dyDescent="0.25">
      <c r="A8" s="931"/>
      <c r="B8" s="933"/>
      <c r="C8" s="266">
        <v>0.4</v>
      </c>
      <c r="D8" s="266">
        <v>0.74</v>
      </c>
      <c r="E8" s="900"/>
      <c r="F8" s="944">
        <f>0.48*3.5*1000</f>
        <v>1680</v>
      </c>
      <c r="G8" s="902" t="s">
        <v>51</v>
      </c>
      <c r="H8" s="273"/>
      <c r="I8" s="268"/>
      <c r="J8" s="268"/>
      <c r="K8" s="268"/>
      <c r="L8" s="268"/>
      <c r="M8" s="268"/>
      <c r="N8" s="268"/>
      <c r="O8" s="268"/>
      <c r="P8" s="268"/>
      <c r="Q8" s="268"/>
      <c r="R8" s="274" t="s">
        <v>1587</v>
      </c>
      <c r="S8" s="1033"/>
      <c r="T8" s="1035"/>
      <c r="U8" s="1037"/>
    </row>
    <row r="9" spans="1:21" x14ac:dyDescent="0.25">
      <c r="A9" s="931"/>
      <c r="B9" s="933"/>
      <c r="C9" s="900">
        <v>0.74</v>
      </c>
      <c r="D9" s="900">
        <v>0.88</v>
      </c>
      <c r="E9" s="900"/>
      <c r="F9" s="944"/>
      <c r="G9" s="902"/>
      <c r="H9" s="273"/>
      <c r="I9" s="268"/>
      <c r="J9" s="268"/>
      <c r="K9" s="268"/>
      <c r="L9" s="268"/>
      <c r="M9" s="268"/>
      <c r="N9" s="268"/>
      <c r="O9" s="268"/>
      <c r="P9" s="268"/>
      <c r="Q9" s="268"/>
      <c r="R9" s="274" t="s">
        <v>1587</v>
      </c>
      <c r="S9" s="1033"/>
      <c r="T9" s="1035"/>
      <c r="U9" s="1037"/>
    </row>
    <row r="10" spans="1:21" x14ac:dyDescent="0.25">
      <c r="A10" s="931"/>
      <c r="B10" s="933"/>
      <c r="C10" s="900"/>
      <c r="D10" s="900"/>
      <c r="E10" s="900"/>
      <c r="F10" s="944"/>
      <c r="G10" s="902"/>
      <c r="H10" s="273"/>
      <c r="I10" s="268"/>
      <c r="J10" s="268"/>
      <c r="K10" s="268"/>
      <c r="L10" s="268"/>
      <c r="M10" s="268"/>
      <c r="N10" s="268"/>
      <c r="O10" s="268"/>
      <c r="P10" s="268"/>
      <c r="Q10" s="268"/>
      <c r="R10" s="274" t="s">
        <v>1589</v>
      </c>
      <c r="S10" s="1033"/>
      <c r="T10" s="1035"/>
      <c r="U10" s="1037"/>
    </row>
    <row r="11" spans="1:21" x14ac:dyDescent="0.25">
      <c r="A11" s="931"/>
      <c r="B11" s="933"/>
      <c r="C11" s="900"/>
      <c r="D11" s="900"/>
      <c r="E11" s="900"/>
      <c r="F11" s="944"/>
      <c r="G11" s="902"/>
      <c r="H11" s="273"/>
      <c r="I11" s="268"/>
      <c r="J11" s="268"/>
      <c r="K11" s="268"/>
      <c r="L11" s="268"/>
      <c r="M11" s="268"/>
      <c r="N11" s="268"/>
      <c r="O11" s="268"/>
      <c r="P11" s="268"/>
      <c r="Q11" s="268"/>
      <c r="R11" s="274" t="s">
        <v>1590</v>
      </c>
      <c r="S11" s="1033"/>
      <c r="T11" s="1035"/>
      <c r="U11" s="1037"/>
    </row>
    <row r="12" spans="1:21" x14ac:dyDescent="0.25">
      <c r="A12" s="931"/>
      <c r="B12" s="933"/>
      <c r="C12" s="900"/>
      <c r="D12" s="900"/>
      <c r="E12" s="900"/>
      <c r="F12" s="944"/>
      <c r="G12" s="902"/>
      <c r="H12" s="273"/>
      <c r="I12" s="268"/>
      <c r="J12" s="268"/>
      <c r="K12" s="268"/>
      <c r="L12" s="268"/>
      <c r="M12" s="268"/>
      <c r="N12" s="268"/>
      <c r="O12" s="268"/>
      <c r="P12" s="268"/>
      <c r="Q12" s="268"/>
      <c r="R12" s="274" t="s">
        <v>1591</v>
      </c>
      <c r="S12" s="1033"/>
      <c r="T12" s="1035"/>
      <c r="U12" s="1037"/>
    </row>
    <row r="13" spans="1:21" x14ac:dyDescent="0.25">
      <c r="A13" s="931"/>
      <c r="B13" s="933"/>
      <c r="C13" s="266">
        <v>0.88</v>
      </c>
      <c r="D13" s="266">
        <v>1.06</v>
      </c>
      <c r="E13" s="900"/>
      <c r="F13" s="944">
        <f>0.6*6*1000</f>
        <v>3599.9999999999995</v>
      </c>
      <c r="G13" s="902" t="s">
        <v>32</v>
      </c>
      <c r="H13" s="273"/>
      <c r="I13" s="268"/>
      <c r="J13" s="268"/>
      <c r="K13" s="268"/>
      <c r="L13" s="268"/>
      <c r="M13" s="268"/>
      <c r="N13" s="268"/>
      <c r="O13" s="268"/>
      <c r="P13" s="268"/>
      <c r="Q13" s="268"/>
      <c r="R13" s="274" t="s">
        <v>1591</v>
      </c>
      <c r="S13" s="1033"/>
      <c r="T13" s="1035"/>
      <c r="U13" s="1037"/>
    </row>
    <row r="14" spans="1:21" x14ac:dyDescent="0.25">
      <c r="A14" s="931"/>
      <c r="B14" s="933"/>
      <c r="C14" s="266">
        <v>1.06</v>
      </c>
      <c r="D14" s="266">
        <v>1.07</v>
      </c>
      <c r="E14" s="900"/>
      <c r="F14" s="944"/>
      <c r="G14" s="902"/>
      <c r="H14" s="273"/>
      <c r="I14" s="268"/>
      <c r="J14" s="268"/>
      <c r="K14" s="268"/>
      <c r="L14" s="268"/>
      <c r="M14" s="268"/>
      <c r="N14" s="268"/>
      <c r="O14" s="268"/>
      <c r="P14" s="268"/>
      <c r="Q14" s="268"/>
      <c r="R14" s="274" t="s">
        <v>1592</v>
      </c>
      <c r="S14" s="1033"/>
      <c r="T14" s="1035"/>
      <c r="U14" s="1037"/>
    </row>
    <row r="15" spans="1:21" x14ac:dyDescent="0.25">
      <c r="A15" s="931"/>
      <c r="B15" s="933"/>
      <c r="C15" s="266">
        <v>1.07</v>
      </c>
      <c r="D15" s="266">
        <v>1.1000000000000001</v>
      </c>
      <c r="E15" s="900"/>
      <c r="F15" s="944"/>
      <c r="G15" s="902"/>
      <c r="H15" s="273"/>
      <c r="I15" s="268"/>
      <c r="J15" s="268"/>
      <c r="K15" s="268"/>
      <c r="L15" s="268"/>
      <c r="M15" s="268"/>
      <c r="N15" s="268"/>
      <c r="O15" s="268"/>
      <c r="P15" s="268"/>
      <c r="Q15" s="268"/>
      <c r="R15" s="274" t="s">
        <v>1587</v>
      </c>
      <c r="S15" s="1033"/>
      <c r="T15" s="1035"/>
      <c r="U15" s="1037"/>
    </row>
    <row r="16" spans="1:21" x14ac:dyDescent="0.25">
      <c r="A16" s="931"/>
      <c r="B16" s="933"/>
      <c r="C16" s="266">
        <v>1.1000000000000001</v>
      </c>
      <c r="D16" s="266">
        <v>1.22</v>
      </c>
      <c r="E16" s="900"/>
      <c r="F16" s="944"/>
      <c r="G16" s="902"/>
      <c r="H16" s="273"/>
      <c r="I16" s="268"/>
      <c r="J16" s="268"/>
      <c r="K16" s="268"/>
      <c r="L16" s="268"/>
      <c r="M16" s="268"/>
      <c r="N16" s="268"/>
      <c r="O16" s="268"/>
      <c r="P16" s="268"/>
      <c r="Q16" s="268"/>
      <c r="R16" s="274" t="s">
        <v>1587</v>
      </c>
      <c r="S16" s="1033"/>
      <c r="T16" s="1035"/>
      <c r="U16" s="1037"/>
    </row>
    <row r="17" spans="1:22" x14ac:dyDescent="0.25">
      <c r="A17" s="931"/>
      <c r="B17" s="933"/>
      <c r="C17" s="900">
        <v>1.22</v>
      </c>
      <c r="D17" s="900">
        <v>1.45</v>
      </c>
      <c r="E17" s="900"/>
      <c r="F17" s="944"/>
      <c r="G17" s="902"/>
      <c r="H17" s="273"/>
      <c r="I17" s="268"/>
      <c r="J17" s="268"/>
      <c r="K17" s="268"/>
      <c r="L17" s="268"/>
      <c r="M17" s="268"/>
      <c r="N17" s="268"/>
      <c r="O17" s="268"/>
      <c r="P17" s="268"/>
      <c r="Q17" s="268"/>
      <c r="R17" s="274" t="s">
        <v>1587</v>
      </c>
      <c r="S17" s="1033"/>
      <c r="T17" s="1035"/>
      <c r="U17" s="1037"/>
    </row>
    <row r="18" spans="1:22" x14ac:dyDescent="0.25">
      <c r="A18" s="931"/>
      <c r="B18" s="933"/>
      <c r="C18" s="900"/>
      <c r="D18" s="900"/>
      <c r="E18" s="900"/>
      <c r="F18" s="944"/>
      <c r="G18" s="902"/>
      <c r="H18" s="273"/>
      <c r="I18" s="268"/>
      <c r="J18" s="268"/>
      <c r="K18" s="268"/>
      <c r="L18" s="268"/>
      <c r="M18" s="268"/>
      <c r="N18" s="268"/>
      <c r="O18" s="268"/>
      <c r="P18" s="268"/>
      <c r="Q18" s="268"/>
      <c r="R18" s="274" t="s">
        <v>1593</v>
      </c>
      <c r="S18" s="1033"/>
      <c r="T18" s="1035"/>
      <c r="U18" s="1037"/>
    </row>
    <row r="19" spans="1:22" x14ac:dyDescent="0.25">
      <c r="A19" s="931"/>
      <c r="B19" s="933"/>
      <c r="C19" s="900"/>
      <c r="D19" s="900"/>
      <c r="E19" s="900"/>
      <c r="F19" s="944"/>
      <c r="G19" s="902"/>
      <c r="H19" s="273"/>
      <c r="I19" s="268"/>
      <c r="J19" s="268"/>
      <c r="K19" s="268"/>
      <c r="L19" s="268"/>
      <c r="M19" s="268"/>
      <c r="N19" s="268"/>
      <c r="O19" s="268"/>
      <c r="P19" s="268"/>
      <c r="Q19" s="268"/>
      <c r="R19" s="274" t="s">
        <v>1594</v>
      </c>
      <c r="S19" s="1033"/>
      <c r="T19" s="1035"/>
      <c r="U19" s="1037"/>
    </row>
    <row r="20" spans="1:22" ht="14.4" thickBot="1" x14ac:dyDescent="0.3">
      <c r="A20" s="907"/>
      <c r="B20" s="934"/>
      <c r="C20" s="935"/>
      <c r="D20" s="935"/>
      <c r="E20" s="935"/>
      <c r="F20" s="942"/>
      <c r="G20" s="903"/>
      <c r="H20" s="271"/>
      <c r="I20" s="247"/>
      <c r="J20" s="247"/>
      <c r="K20" s="247"/>
      <c r="L20" s="247"/>
      <c r="M20" s="247"/>
      <c r="N20" s="247"/>
      <c r="O20" s="247"/>
      <c r="P20" s="247"/>
      <c r="Q20" s="247"/>
      <c r="R20" s="318" t="s">
        <v>1595</v>
      </c>
      <c r="S20" s="1034"/>
      <c r="T20" s="1036"/>
      <c r="U20" s="1038"/>
    </row>
    <row r="21" spans="1:22" x14ac:dyDescent="0.25">
      <c r="A21" s="922" t="s">
        <v>1596</v>
      </c>
      <c r="B21" s="932" t="s">
        <v>1597</v>
      </c>
      <c r="C21" s="265">
        <v>0</v>
      </c>
      <c r="D21" s="265">
        <v>0.14000000000000001</v>
      </c>
      <c r="E21" s="938">
        <v>0.62</v>
      </c>
      <c r="F21" s="270">
        <f>D21*7*1000</f>
        <v>980.00000000000011</v>
      </c>
      <c r="G21" s="260" t="s">
        <v>32</v>
      </c>
      <c r="H21" s="270"/>
      <c r="I21" s="260"/>
      <c r="J21" s="260"/>
      <c r="K21" s="260"/>
      <c r="L21" s="260"/>
      <c r="M21" s="260"/>
      <c r="N21" s="260"/>
      <c r="O21" s="260"/>
      <c r="P21" s="260"/>
      <c r="Q21" s="260"/>
      <c r="R21" s="1050" t="s">
        <v>1598</v>
      </c>
      <c r="S21" s="901" t="s">
        <v>1588</v>
      </c>
      <c r="T21" s="941" t="s">
        <v>252</v>
      </c>
      <c r="U21" s="1048"/>
    </row>
    <row r="22" spans="1:22" ht="52.2" customHeight="1" thickBot="1" x14ac:dyDescent="0.3">
      <c r="A22" s="907"/>
      <c r="B22" s="934"/>
      <c r="C22" s="269">
        <v>0.14000000000000001</v>
      </c>
      <c r="D22" s="269">
        <v>0.62</v>
      </c>
      <c r="E22" s="939"/>
      <c r="F22" s="271">
        <f>0.48*3.5*1000</f>
        <v>1680</v>
      </c>
      <c r="G22" s="247" t="s">
        <v>51</v>
      </c>
      <c r="H22" s="271"/>
      <c r="I22" s="247"/>
      <c r="J22" s="247"/>
      <c r="K22" s="247"/>
      <c r="L22" s="247"/>
      <c r="M22" s="247"/>
      <c r="N22" s="247"/>
      <c r="O22" s="247"/>
      <c r="P22" s="247"/>
      <c r="Q22" s="247"/>
      <c r="R22" s="1051"/>
      <c r="S22" s="903"/>
      <c r="T22" s="942"/>
      <c r="U22" s="1049"/>
    </row>
    <row r="23" spans="1:22" x14ac:dyDescent="0.25">
      <c r="A23" s="922" t="s">
        <v>1599</v>
      </c>
      <c r="B23" s="932" t="s">
        <v>1600</v>
      </c>
      <c r="C23" s="938">
        <v>0</v>
      </c>
      <c r="D23" s="938">
        <v>0.35</v>
      </c>
      <c r="E23" s="938">
        <v>0.35</v>
      </c>
      <c r="F23" s="941">
        <f>E23*6*1000</f>
        <v>2099.9999999999995</v>
      </c>
      <c r="G23" s="901" t="s">
        <v>32</v>
      </c>
      <c r="H23" s="270"/>
      <c r="I23" s="260"/>
      <c r="J23" s="260"/>
      <c r="K23" s="260"/>
      <c r="L23" s="260"/>
      <c r="M23" s="260"/>
      <c r="N23" s="260"/>
      <c r="O23" s="260"/>
      <c r="P23" s="260"/>
      <c r="Q23" s="260"/>
      <c r="R23" s="321" t="s">
        <v>1601</v>
      </c>
      <c r="S23" s="901" t="s">
        <v>1588</v>
      </c>
      <c r="T23" s="941" t="s">
        <v>252</v>
      </c>
      <c r="U23" s="929" t="s">
        <v>1215</v>
      </c>
    </row>
    <row r="24" spans="1:22" x14ac:dyDescent="0.25">
      <c r="A24" s="931"/>
      <c r="B24" s="933"/>
      <c r="C24" s="940"/>
      <c r="D24" s="940"/>
      <c r="E24" s="940"/>
      <c r="F24" s="944"/>
      <c r="G24" s="902"/>
      <c r="H24" s="273"/>
      <c r="I24" s="268"/>
      <c r="J24" s="268"/>
      <c r="K24" s="268"/>
      <c r="L24" s="268"/>
      <c r="M24" s="268"/>
      <c r="N24" s="268"/>
      <c r="O24" s="268"/>
      <c r="P24" s="268"/>
      <c r="Q24" s="268"/>
      <c r="R24" s="274" t="s">
        <v>1602</v>
      </c>
      <c r="S24" s="902"/>
      <c r="T24" s="944"/>
      <c r="U24" s="937"/>
      <c r="V24" s="322"/>
    </row>
    <row r="25" spans="1:22" x14ac:dyDescent="0.25">
      <c r="A25" s="931"/>
      <c r="B25" s="933"/>
      <c r="C25" s="940"/>
      <c r="D25" s="940"/>
      <c r="E25" s="940"/>
      <c r="F25" s="944"/>
      <c r="G25" s="902"/>
      <c r="H25" s="273"/>
      <c r="I25" s="268"/>
      <c r="J25" s="268"/>
      <c r="K25" s="268"/>
      <c r="L25" s="268"/>
      <c r="M25" s="268"/>
      <c r="N25" s="268"/>
      <c r="O25" s="268"/>
      <c r="P25" s="268"/>
      <c r="Q25" s="268"/>
      <c r="R25" s="274" t="s">
        <v>1603</v>
      </c>
      <c r="S25" s="902"/>
      <c r="T25" s="944"/>
      <c r="U25" s="937"/>
    </row>
    <row r="26" spans="1:22" ht="25.95" customHeight="1" thickBot="1" x14ac:dyDescent="0.3">
      <c r="A26" s="907"/>
      <c r="B26" s="934"/>
      <c r="C26" s="939"/>
      <c r="D26" s="939"/>
      <c r="E26" s="939"/>
      <c r="F26" s="942"/>
      <c r="G26" s="903"/>
      <c r="H26" s="271"/>
      <c r="I26" s="247"/>
      <c r="J26" s="247"/>
      <c r="K26" s="247"/>
      <c r="L26" s="247"/>
      <c r="M26" s="247"/>
      <c r="N26" s="247"/>
      <c r="O26" s="247"/>
      <c r="P26" s="247"/>
      <c r="Q26" s="247"/>
      <c r="R26" s="318" t="s">
        <v>1604</v>
      </c>
      <c r="S26" s="903"/>
      <c r="T26" s="942"/>
      <c r="U26" s="930"/>
    </row>
    <row r="27" spans="1:22" x14ac:dyDescent="0.25">
      <c r="A27" s="922" t="s">
        <v>1605</v>
      </c>
      <c r="B27" s="1039" t="s">
        <v>1606</v>
      </c>
      <c r="C27" s="323">
        <v>0</v>
      </c>
      <c r="D27" s="324">
        <v>1.91</v>
      </c>
      <c r="E27" s="1041">
        <v>5</v>
      </c>
      <c r="F27" s="1043">
        <f>E27*6*1000</f>
        <v>30000</v>
      </c>
      <c r="G27" s="1045" t="s">
        <v>32</v>
      </c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321" t="s">
        <v>1607</v>
      </c>
      <c r="S27" s="325"/>
      <c r="T27" s="941" t="s">
        <v>252</v>
      </c>
      <c r="U27" s="1047"/>
    </row>
    <row r="28" spans="1:22" ht="53.4" customHeight="1" thickBot="1" x14ac:dyDescent="0.3">
      <c r="A28" s="907"/>
      <c r="B28" s="1040"/>
      <c r="C28" s="326">
        <v>1.91</v>
      </c>
      <c r="D28" s="327">
        <v>5</v>
      </c>
      <c r="E28" s="1042"/>
      <c r="F28" s="1044"/>
      <c r="G28" s="1046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318" t="s">
        <v>1608</v>
      </c>
      <c r="S28" s="328"/>
      <c r="T28" s="942"/>
      <c r="U28" s="1038"/>
    </row>
    <row r="29" spans="1:22" x14ac:dyDescent="0.25">
      <c r="A29" s="922" t="s">
        <v>1609</v>
      </c>
      <c r="B29" s="932" t="s">
        <v>1610</v>
      </c>
      <c r="C29" s="261">
        <v>0</v>
      </c>
      <c r="D29" s="265">
        <v>0.23</v>
      </c>
      <c r="E29" s="899">
        <v>0.25</v>
      </c>
      <c r="F29" s="270">
        <v>1750</v>
      </c>
      <c r="G29" s="260" t="s">
        <v>51</v>
      </c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1050" t="s">
        <v>1611</v>
      </c>
      <c r="S29" s="928" t="s">
        <v>1588</v>
      </c>
      <c r="T29" s="941" t="s">
        <v>252</v>
      </c>
      <c r="U29" s="1048"/>
    </row>
    <row r="30" spans="1:22" ht="50.4" customHeight="1" thickBot="1" x14ac:dyDescent="0.3">
      <c r="A30" s="907"/>
      <c r="B30" s="934"/>
      <c r="C30" s="248">
        <v>0.23</v>
      </c>
      <c r="D30" s="269">
        <v>0.25</v>
      </c>
      <c r="E30" s="935"/>
      <c r="F30" s="271">
        <f>0.02*4.5*1000</f>
        <v>90</v>
      </c>
      <c r="G30" s="247" t="s">
        <v>32</v>
      </c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1051"/>
      <c r="S30" s="919"/>
      <c r="T30" s="942"/>
      <c r="U30" s="1049"/>
    </row>
    <row r="31" spans="1:22" x14ac:dyDescent="0.25">
      <c r="A31" s="922" t="s">
        <v>1612</v>
      </c>
      <c r="B31" s="932" t="s">
        <v>1613</v>
      </c>
      <c r="C31" s="938">
        <v>0</v>
      </c>
      <c r="D31" s="938">
        <v>0.23</v>
      </c>
      <c r="E31" s="938">
        <v>0.5</v>
      </c>
      <c r="F31" s="941">
        <f>E31*4*1000</f>
        <v>2000</v>
      </c>
      <c r="G31" s="901" t="s">
        <v>32</v>
      </c>
      <c r="H31" s="270"/>
      <c r="I31" s="270"/>
      <c r="J31" s="270"/>
      <c r="K31" s="270"/>
      <c r="L31" s="270"/>
      <c r="M31" s="270"/>
      <c r="N31" s="270"/>
      <c r="O31" s="270"/>
      <c r="P31" s="270"/>
      <c r="Q31" s="270"/>
      <c r="R31" s="321" t="s">
        <v>1614</v>
      </c>
      <c r="S31" s="901" t="s">
        <v>1588</v>
      </c>
      <c r="T31" s="941" t="s">
        <v>252</v>
      </c>
      <c r="U31" s="929"/>
    </row>
    <row r="32" spans="1:22" x14ac:dyDescent="0.25">
      <c r="A32" s="931"/>
      <c r="B32" s="933"/>
      <c r="C32" s="940"/>
      <c r="D32" s="940"/>
      <c r="E32" s="940"/>
      <c r="F32" s="944"/>
      <c r="G32" s="902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4" t="s">
        <v>1615</v>
      </c>
      <c r="S32" s="902"/>
      <c r="T32" s="944"/>
      <c r="U32" s="937"/>
    </row>
    <row r="33" spans="1:21" x14ac:dyDescent="0.25">
      <c r="A33" s="931"/>
      <c r="B33" s="933"/>
      <c r="C33" s="940"/>
      <c r="D33" s="940"/>
      <c r="E33" s="940"/>
      <c r="F33" s="944"/>
      <c r="G33" s="902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4" t="s">
        <v>1616</v>
      </c>
      <c r="S33" s="902"/>
      <c r="T33" s="944"/>
      <c r="U33" s="937"/>
    </row>
    <row r="34" spans="1:21" x14ac:dyDescent="0.25">
      <c r="A34" s="931"/>
      <c r="B34" s="933"/>
      <c r="C34" s="940">
        <v>0.23</v>
      </c>
      <c r="D34" s="940">
        <v>0.5</v>
      </c>
      <c r="E34" s="940"/>
      <c r="F34" s="944"/>
      <c r="G34" s="902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4" t="s">
        <v>1615</v>
      </c>
      <c r="S34" s="902"/>
      <c r="T34" s="944"/>
      <c r="U34" s="937"/>
    </row>
    <row r="35" spans="1:21" x14ac:dyDescent="0.25">
      <c r="A35" s="931"/>
      <c r="B35" s="933"/>
      <c r="C35" s="940"/>
      <c r="D35" s="940"/>
      <c r="E35" s="940"/>
      <c r="F35" s="944"/>
      <c r="G35" s="902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4" t="s">
        <v>1617</v>
      </c>
      <c r="S35" s="902"/>
      <c r="T35" s="944"/>
      <c r="U35" s="937"/>
    </row>
    <row r="36" spans="1:21" x14ac:dyDescent="0.25">
      <c r="A36" s="931"/>
      <c r="B36" s="933"/>
      <c r="C36" s="940"/>
      <c r="D36" s="940"/>
      <c r="E36" s="940"/>
      <c r="F36" s="944"/>
      <c r="G36" s="902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4" t="s">
        <v>1618</v>
      </c>
      <c r="S36" s="902"/>
      <c r="T36" s="944"/>
      <c r="U36" s="937"/>
    </row>
    <row r="37" spans="1:21" x14ac:dyDescent="0.25">
      <c r="A37" s="931"/>
      <c r="B37" s="933"/>
      <c r="C37" s="940"/>
      <c r="D37" s="940"/>
      <c r="E37" s="940"/>
      <c r="F37" s="944"/>
      <c r="G37" s="902"/>
      <c r="H37" s="273"/>
      <c r="I37" s="273"/>
      <c r="J37" s="273"/>
      <c r="K37" s="273"/>
      <c r="L37" s="273"/>
      <c r="M37" s="273"/>
      <c r="N37" s="273"/>
      <c r="O37" s="273"/>
      <c r="P37" s="273"/>
      <c r="Q37" s="273"/>
      <c r="R37" s="274" t="s">
        <v>1619</v>
      </c>
      <c r="S37" s="902"/>
      <c r="T37" s="944"/>
      <c r="U37" s="937"/>
    </row>
    <row r="38" spans="1:21" x14ac:dyDescent="0.25">
      <c r="A38" s="931"/>
      <c r="B38" s="933"/>
      <c r="C38" s="940"/>
      <c r="D38" s="940"/>
      <c r="E38" s="940"/>
      <c r="F38" s="944"/>
      <c r="G38" s="902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4" t="s">
        <v>1620</v>
      </c>
      <c r="S38" s="902"/>
      <c r="T38" s="944"/>
      <c r="U38" s="937"/>
    </row>
    <row r="39" spans="1:21" x14ac:dyDescent="0.25">
      <c r="A39" s="931"/>
      <c r="B39" s="933"/>
      <c r="C39" s="940"/>
      <c r="D39" s="940"/>
      <c r="E39" s="940"/>
      <c r="F39" s="944"/>
      <c r="G39" s="902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4" t="s">
        <v>1621</v>
      </c>
      <c r="S39" s="902"/>
      <c r="T39" s="944"/>
      <c r="U39" s="937"/>
    </row>
    <row r="40" spans="1:21" x14ac:dyDescent="0.25">
      <c r="A40" s="931"/>
      <c r="B40" s="933"/>
      <c r="C40" s="940"/>
      <c r="D40" s="940"/>
      <c r="E40" s="940"/>
      <c r="F40" s="944"/>
      <c r="G40" s="902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4" t="s">
        <v>1622</v>
      </c>
      <c r="S40" s="902"/>
      <c r="T40" s="944"/>
      <c r="U40" s="937"/>
    </row>
    <row r="41" spans="1:21" x14ac:dyDescent="0.25">
      <c r="A41" s="931"/>
      <c r="B41" s="933"/>
      <c r="C41" s="940"/>
      <c r="D41" s="940"/>
      <c r="E41" s="940"/>
      <c r="F41" s="944"/>
      <c r="G41" s="902"/>
      <c r="H41" s="273"/>
      <c r="I41" s="273"/>
      <c r="J41" s="273"/>
      <c r="K41" s="273"/>
      <c r="L41" s="273"/>
      <c r="M41" s="273"/>
      <c r="N41" s="273"/>
      <c r="O41" s="273"/>
      <c r="P41" s="273"/>
      <c r="Q41" s="273"/>
      <c r="R41" s="274" t="s">
        <v>1623</v>
      </c>
      <c r="S41" s="902"/>
      <c r="T41" s="944"/>
      <c r="U41" s="937"/>
    </row>
    <row r="42" spans="1:21" ht="14.4" thickBot="1" x14ac:dyDescent="0.3">
      <c r="A42" s="907"/>
      <c r="B42" s="934"/>
      <c r="C42" s="939"/>
      <c r="D42" s="939"/>
      <c r="E42" s="939"/>
      <c r="F42" s="942"/>
      <c r="G42" s="903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318" t="s">
        <v>1624</v>
      </c>
      <c r="S42" s="903"/>
      <c r="T42" s="942"/>
      <c r="U42" s="930"/>
    </row>
    <row r="43" spans="1:21" x14ac:dyDescent="0.25">
      <c r="A43" s="922" t="s">
        <v>1625</v>
      </c>
      <c r="B43" s="932" t="s">
        <v>1626</v>
      </c>
      <c r="C43" s="938">
        <v>0</v>
      </c>
      <c r="D43" s="938">
        <v>7.86</v>
      </c>
      <c r="E43" s="938">
        <v>8.0399999999999991</v>
      </c>
      <c r="F43" s="901">
        <f>E43*5.5*1000</f>
        <v>44220</v>
      </c>
      <c r="G43" s="941" t="s">
        <v>32</v>
      </c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321" t="s">
        <v>1627</v>
      </c>
      <c r="S43" s="927"/>
      <c r="T43" s="941" t="s">
        <v>252</v>
      </c>
      <c r="U43" s="943"/>
    </row>
    <row r="44" spans="1:21" x14ac:dyDescent="0.25">
      <c r="A44" s="931"/>
      <c r="B44" s="933"/>
      <c r="C44" s="940"/>
      <c r="D44" s="940"/>
      <c r="E44" s="940"/>
      <c r="F44" s="902"/>
      <c r="G44" s="944"/>
      <c r="H44" s="268"/>
      <c r="I44" s="268"/>
      <c r="J44" s="268"/>
      <c r="K44" s="268"/>
      <c r="L44" s="268"/>
      <c r="M44" s="268"/>
      <c r="N44" s="268"/>
      <c r="O44" s="268"/>
      <c r="P44" s="268"/>
      <c r="Q44" s="268"/>
      <c r="R44" s="274" t="s">
        <v>1628</v>
      </c>
      <c r="S44" s="947"/>
      <c r="T44" s="944"/>
      <c r="U44" s="946"/>
    </row>
    <row r="45" spans="1:21" ht="40.950000000000003" customHeight="1" thickBot="1" x14ac:dyDescent="0.3">
      <c r="A45" s="907"/>
      <c r="B45" s="934"/>
      <c r="C45" s="269">
        <v>7.86</v>
      </c>
      <c r="D45" s="269">
        <v>8.0399999999999991</v>
      </c>
      <c r="E45" s="939"/>
      <c r="F45" s="903"/>
      <c r="G45" s="942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318" t="s">
        <v>1627</v>
      </c>
      <c r="S45" s="917"/>
      <c r="T45" s="942"/>
      <c r="U45" s="921"/>
    </row>
    <row r="46" spans="1:21" ht="60.6" thickBot="1" x14ac:dyDescent="0.3">
      <c r="A46" s="249" t="s">
        <v>1629</v>
      </c>
      <c r="B46" s="264" t="s">
        <v>1630</v>
      </c>
      <c r="C46" s="263">
        <v>0</v>
      </c>
      <c r="D46" s="263">
        <v>4.82</v>
      </c>
      <c r="E46" s="254">
        <v>4.82</v>
      </c>
      <c r="F46" s="252">
        <f>E46*8*1000</f>
        <v>38560</v>
      </c>
      <c r="G46" s="252" t="s">
        <v>32</v>
      </c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93" t="s">
        <v>1631</v>
      </c>
      <c r="S46" s="255"/>
      <c r="T46" s="65" t="s">
        <v>252</v>
      </c>
      <c r="U46" s="258"/>
    </row>
    <row r="47" spans="1:21" ht="15" customHeight="1" x14ac:dyDescent="0.25">
      <c r="A47" s="922" t="s">
        <v>1632</v>
      </c>
      <c r="B47" s="932" t="s">
        <v>1633</v>
      </c>
      <c r="C47" s="899">
        <v>0</v>
      </c>
      <c r="D47" s="899">
        <v>0.56000000000000005</v>
      </c>
      <c r="E47" s="899">
        <v>1.06</v>
      </c>
      <c r="F47" s="901">
        <f>E47*4*1000</f>
        <v>4240</v>
      </c>
      <c r="G47" s="901" t="s">
        <v>32</v>
      </c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321" t="s">
        <v>1634</v>
      </c>
      <c r="S47" s="901"/>
      <c r="T47" s="941" t="s">
        <v>252</v>
      </c>
      <c r="U47" s="929"/>
    </row>
    <row r="48" spans="1:21" x14ac:dyDescent="0.25">
      <c r="A48" s="931"/>
      <c r="B48" s="933"/>
      <c r="C48" s="900"/>
      <c r="D48" s="900"/>
      <c r="E48" s="900"/>
      <c r="F48" s="902"/>
      <c r="G48" s="902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74" t="s">
        <v>1635</v>
      </c>
      <c r="S48" s="902"/>
      <c r="T48" s="944"/>
      <c r="U48" s="937"/>
    </row>
    <row r="49" spans="1:21" x14ac:dyDescent="0.25">
      <c r="A49" s="931"/>
      <c r="B49" s="933"/>
      <c r="C49" s="900">
        <v>0.56000000000000005</v>
      </c>
      <c r="D49" s="900">
        <v>0.61</v>
      </c>
      <c r="E49" s="900"/>
      <c r="F49" s="902"/>
      <c r="G49" s="902"/>
      <c r="H49" s="268"/>
      <c r="I49" s="268"/>
      <c r="J49" s="268"/>
      <c r="K49" s="268"/>
      <c r="L49" s="268"/>
      <c r="M49" s="268"/>
      <c r="N49" s="268"/>
      <c r="O49" s="268"/>
      <c r="P49" s="268"/>
      <c r="Q49" s="268"/>
      <c r="R49" s="274" t="s">
        <v>1634</v>
      </c>
      <c r="S49" s="902"/>
      <c r="T49" s="944"/>
      <c r="U49" s="937"/>
    </row>
    <row r="50" spans="1:21" x14ac:dyDescent="0.25">
      <c r="A50" s="931"/>
      <c r="B50" s="933"/>
      <c r="C50" s="900"/>
      <c r="D50" s="900"/>
      <c r="E50" s="900"/>
      <c r="F50" s="902"/>
      <c r="G50" s="902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74" t="s">
        <v>1636</v>
      </c>
      <c r="S50" s="902"/>
      <c r="T50" s="944"/>
      <c r="U50" s="937"/>
    </row>
    <row r="51" spans="1:21" x14ac:dyDescent="0.25">
      <c r="A51" s="931"/>
      <c r="B51" s="933"/>
      <c r="C51" s="900">
        <v>0.61</v>
      </c>
      <c r="D51" s="900">
        <v>1.06</v>
      </c>
      <c r="E51" s="900"/>
      <c r="F51" s="902"/>
      <c r="G51" s="902"/>
      <c r="H51" s="268"/>
      <c r="I51" s="268"/>
      <c r="J51" s="268"/>
      <c r="K51" s="268"/>
      <c r="L51" s="268"/>
      <c r="M51" s="268"/>
      <c r="N51" s="268"/>
      <c r="O51" s="268"/>
      <c r="P51" s="268"/>
      <c r="Q51" s="268"/>
      <c r="R51" s="274" t="s">
        <v>1634</v>
      </c>
      <c r="S51" s="902"/>
      <c r="T51" s="944"/>
      <c r="U51" s="937"/>
    </row>
    <row r="52" spans="1:21" ht="14.4" thickBot="1" x14ac:dyDescent="0.3">
      <c r="A52" s="907"/>
      <c r="B52" s="934"/>
      <c r="C52" s="935"/>
      <c r="D52" s="935"/>
      <c r="E52" s="935"/>
      <c r="F52" s="903"/>
      <c r="G52" s="903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318" t="s">
        <v>1637</v>
      </c>
      <c r="S52" s="903"/>
      <c r="T52" s="942"/>
      <c r="U52" s="930"/>
    </row>
    <row r="53" spans="1:21" x14ac:dyDescent="0.25">
      <c r="A53" s="922" t="s">
        <v>1638</v>
      </c>
      <c r="B53" s="932" t="s">
        <v>1639</v>
      </c>
      <c r="C53" s="261">
        <v>0</v>
      </c>
      <c r="D53" s="261">
        <v>0.4</v>
      </c>
      <c r="E53" s="1010">
        <v>1.56</v>
      </c>
      <c r="F53" s="291">
        <f>D53*4*1000</f>
        <v>1600</v>
      </c>
      <c r="G53" s="270" t="s">
        <v>51</v>
      </c>
      <c r="H53" s="901"/>
      <c r="I53" s="901"/>
      <c r="J53" s="901"/>
      <c r="K53" s="901"/>
      <c r="L53" s="901"/>
      <c r="M53" s="901"/>
      <c r="N53" s="901"/>
      <c r="O53" s="901"/>
      <c r="P53" s="901"/>
      <c r="Q53" s="901"/>
      <c r="R53" s="1050" t="s">
        <v>1640</v>
      </c>
      <c r="S53" s="901"/>
      <c r="T53" s="941" t="s">
        <v>252</v>
      </c>
      <c r="U53" s="929"/>
    </row>
    <row r="54" spans="1:21" ht="51" customHeight="1" thickBot="1" x14ac:dyDescent="0.3">
      <c r="A54" s="907"/>
      <c r="B54" s="934"/>
      <c r="C54" s="248">
        <v>0.4</v>
      </c>
      <c r="D54" s="248">
        <v>1.56</v>
      </c>
      <c r="E54" s="1011"/>
      <c r="F54" s="292">
        <f>D54*4*1000</f>
        <v>6240</v>
      </c>
      <c r="G54" s="271" t="s">
        <v>32</v>
      </c>
      <c r="H54" s="903"/>
      <c r="I54" s="903"/>
      <c r="J54" s="903"/>
      <c r="K54" s="903"/>
      <c r="L54" s="903"/>
      <c r="M54" s="903"/>
      <c r="N54" s="903"/>
      <c r="O54" s="903"/>
      <c r="P54" s="903"/>
      <c r="Q54" s="903"/>
      <c r="R54" s="1051"/>
      <c r="S54" s="903"/>
      <c r="T54" s="942"/>
      <c r="U54" s="930"/>
    </row>
    <row r="55" spans="1:21" x14ac:dyDescent="0.25">
      <c r="A55" s="922" t="s">
        <v>1641</v>
      </c>
      <c r="B55" s="932" t="s">
        <v>1642</v>
      </c>
      <c r="C55" s="938">
        <v>0</v>
      </c>
      <c r="D55" s="938">
        <v>4.42</v>
      </c>
      <c r="E55" s="938">
        <v>4.42</v>
      </c>
      <c r="F55" s="951">
        <f>E55*4.5*1000</f>
        <v>19890</v>
      </c>
      <c r="G55" s="941" t="s">
        <v>32</v>
      </c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321" t="s">
        <v>1643</v>
      </c>
      <c r="S55" s="901"/>
      <c r="T55" s="941" t="s">
        <v>252</v>
      </c>
      <c r="U55" s="929"/>
    </row>
    <row r="56" spans="1:21" ht="50.4" customHeight="1" thickBot="1" x14ac:dyDescent="0.3">
      <c r="A56" s="907"/>
      <c r="B56" s="934"/>
      <c r="C56" s="939"/>
      <c r="D56" s="939"/>
      <c r="E56" s="939"/>
      <c r="F56" s="953"/>
      <c r="G56" s="942"/>
      <c r="H56" s="247"/>
      <c r="I56" s="247"/>
      <c r="J56" s="247"/>
      <c r="K56" s="247"/>
      <c r="L56" s="247"/>
      <c r="M56" s="247"/>
      <c r="N56" s="247"/>
      <c r="O56" s="247"/>
      <c r="P56" s="247"/>
      <c r="Q56" s="247"/>
      <c r="R56" s="318" t="s">
        <v>1644</v>
      </c>
      <c r="S56" s="903"/>
      <c r="T56" s="942"/>
      <c r="U56" s="930"/>
    </row>
    <row r="57" spans="1:21" x14ac:dyDescent="0.25">
      <c r="A57" s="922" t="s">
        <v>1645</v>
      </c>
      <c r="B57" s="932" t="s">
        <v>1646</v>
      </c>
      <c r="C57" s="265">
        <v>0</v>
      </c>
      <c r="D57" s="265">
        <v>0.7</v>
      </c>
      <c r="E57" s="938">
        <v>2.66</v>
      </c>
      <c r="F57" s="1052">
        <f>E57*6*1000</f>
        <v>15960</v>
      </c>
      <c r="G57" s="901" t="s">
        <v>32</v>
      </c>
      <c r="H57" s="901"/>
      <c r="I57" s="899"/>
      <c r="J57" s="941"/>
      <c r="K57" s="1055"/>
      <c r="L57" s="901"/>
      <c r="M57" s="901"/>
      <c r="N57" s="901"/>
      <c r="O57" s="901"/>
      <c r="P57" s="901"/>
      <c r="Q57" s="901"/>
      <c r="R57" s="321" t="s">
        <v>1647</v>
      </c>
      <c r="S57" s="927"/>
      <c r="T57" s="941" t="s">
        <v>252</v>
      </c>
      <c r="U57" s="929"/>
    </row>
    <row r="58" spans="1:21" x14ac:dyDescent="0.25">
      <c r="A58" s="931"/>
      <c r="B58" s="933"/>
      <c r="C58" s="267">
        <v>0.7</v>
      </c>
      <c r="D58" s="267">
        <v>1.3</v>
      </c>
      <c r="E58" s="940"/>
      <c r="F58" s="1053"/>
      <c r="G58" s="902"/>
      <c r="H58" s="902"/>
      <c r="I58" s="900"/>
      <c r="J58" s="902"/>
      <c r="K58" s="950"/>
      <c r="L58" s="902"/>
      <c r="M58" s="902"/>
      <c r="N58" s="902"/>
      <c r="O58" s="902"/>
      <c r="P58" s="902"/>
      <c r="Q58" s="902"/>
      <c r="R58" s="274" t="s">
        <v>1648</v>
      </c>
      <c r="S58" s="947"/>
      <c r="T58" s="944"/>
      <c r="U58" s="937"/>
    </row>
    <row r="59" spans="1:21" x14ac:dyDescent="0.25">
      <c r="A59" s="931"/>
      <c r="B59" s="933"/>
      <c r="C59" s="267">
        <v>1.3</v>
      </c>
      <c r="D59" s="267">
        <v>2.64</v>
      </c>
      <c r="E59" s="940"/>
      <c r="F59" s="1053"/>
      <c r="G59" s="902"/>
      <c r="H59" s="902"/>
      <c r="I59" s="900"/>
      <c r="J59" s="902"/>
      <c r="K59" s="950"/>
      <c r="L59" s="902"/>
      <c r="M59" s="902"/>
      <c r="N59" s="902"/>
      <c r="O59" s="902"/>
      <c r="P59" s="902"/>
      <c r="Q59" s="902"/>
      <c r="R59" s="274" t="s">
        <v>1649</v>
      </c>
      <c r="S59" s="947"/>
      <c r="T59" s="944"/>
      <c r="U59" s="937"/>
    </row>
    <row r="60" spans="1:21" x14ac:dyDescent="0.25">
      <c r="A60" s="931"/>
      <c r="B60" s="933"/>
      <c r="C60" s="940">
        <v>2.64</v>
      </c>
      <c r="D60" s="940">
        <v>2.66</v>
      </c>
      <c r="E60" s="940"/>
      <c r="F60" s="1053"/>
      <c r="G60" s="902"/>
      <c r="H60" s="268"/>
      <c r="I60" s="900">
        <v>2.65</v>
      </c>
      <c r="J60" s="268" t="s">
        <v>1650</v>
      </c>
      <c r="K60" s="950">
        <v>18.100000000000001</v>
      </c>
      <c r="L60" s="902">
        <v>161</v>
      </c>
      <c r="M60" s="268"/>
      <c r="N60" s="268"/>
      <c r="O60" s="902" t="s">
        <v>1651</v>
      </c>
      <c r="P60" s="268"/>
      <c r="Q60" s="268"/>
      <c r="R60" s="274" t="s">
        <v>1652</v>
      </c>
      <c r="S60" s="947"/>
      <c r="T60" s="944"/>
      <c r="U60" s="937"/>
    </row>
    <row r="61" spans="1:21" ht="14.4" thickBot="1" x14ac:dyDescent="0.3">
      <c r="A61" s="907"/>
      <c r="B61" s="934"/>
      <c r="C61" s="939"/>
      <c r="D61" s="939"/>
      <c r="E61" s="939"/>
      <c r="F61" s="1054"/>
      <c r="G61" s="903"/>
      <c r="H61" s="247"/>
      <c r="I61" s="935"/>
      <c r="J61" s="247" t="s">
        <v>1653</v>
      </c>
      <c r="K61" s="1056"/>
      <c r="L61" s="903"/>
      <c r="M61" s="247"/>
      <c r="N61" s="247"/>
      <c r="O61" s="903"/>
      <c r="P61" s="247"/>
      <c r="Q61" s="247"/>
      <c r="R61" s="318" t="s">
        <v>1654</v>
      </c>
      <c r="S61" s="917"/>
      <c r="T61" s="942"/>
      <c r="U61" s="930"/>
    </row>
    <row r="62" spans="1:21" x14ac:dyDescent="0.25">
      <c r="A62" s="922" t="s">
        <v>1655</v>
      </c>
      <c r="B62" s="932" t="s">
        <v>1656</v>
      </c>
      <c r="C62" s="899">
        <v>0</v>
      </c>
      <c r="D62" s="899">
        <v>0.27</v>
      </c>
      <c r="E62" s="899">
        <v>0.43</v>
      </c>
      <c r="F62" s="901">
        <f>E62*3*1000</f>
        <v>1290</v>
      </c>
      <c r="G62" s="901" t="s">
        <v>51</v>
      </c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321" t="s">
        <v>1657</v>
      </c>
      <c r="S62" s="901"/>
      <c r="T62" s="941" t="s">
        <v>252</v>
      </c>
      <c r="U62" s="929"/>
    </row>
    <row r="63" spans="1:21" x14ac:dyDescent="0.25">
      <c r="A63" s="931"/>
      <c r="B63" s="933"/>
      <c r="C63" s="900"/>
      <c r="D63" s="900"/>
      <c r="E63" s="900"/>
      <c r="F63" s="902"/>
      <c r="G63" s="902"/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331" t="s">
        <v>1658</v>
      </c>
      <c r="S63" s="902"/>
      <c r="T63" s="944"/>
      <c r="U63" s="937"/>
    </row>
    <row r="64" spans="1:21" x14ac:dyDescent="0.25">
      <c r="A64" s="931"/>
      <c r="B64" s="933"/>
      <c r="C64" s="900">
        <v>0.27</v>
      </c>
      <c r="D64" s="900">
        <v>0.33</v>
      </c>
      <c r="E64" s="900"/>
      <c r="F64" s="902"/>
      <c r="G64" s="902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74" t="s">
        <v>1657</v>
      </c>
      <c r="S64" s="902"/>
      <c r="T64" s="944"/>
      <c r="U64" s="937"/>
    </row>
    <row r="65" spans="1:21" x14ac:dyDescent="0.25">
      <c r="A65" s="931"/>
      <c r="B65" s="933"/>
      <c r="C65" s="900"/>
      <c r="D65" s="900"/>
      <c r="E65" s="900"/>
      <c r="F65" s="902"/>
      <c r="G65" s="902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331" t="s">
        <v>1659</v>
      </c>
      <c r="S65" s="902"/>
      <c r="T65" s="944"/>
      <c r="U65" s="937"/>
    </row>
    <row r="66" spans="1:21" x14ac:dyDescent="0.25">
      <c r="A66" s="931"/>
      <c r="B66" s="933"/>
      <c r="C66" s="900">
        <v>0.33</v>
      </c>
      <c r="D66" s="900">
        <v>0.43</v>
      </c>
      <c r="E66" s="900"/>
      <c r="F66" s="902"/>
      <c r="G66" s="902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331" t="s">
        <v>1660</v>
      </c>
      <c r="S66" s="902"/>
      <c r="T66" s="944"/>
      <c r="U66" s="937"/>
    </row>
    <row r="67" spans="1:21" x14ac:dyDescent="0.25">
      <c r="A67" s="931"/>
      <c r="B67" s="933"/>
      <c r="C67" s="900"/>
      <c r="D67" s="900"/>
      <c r="E67" s="900"/>
      <c r="F67" s="902"/>
      <c r="G67" s="902"/>
      <c r="H67" s="268"/>
      <c r="I67" s="268"/>
      <c r="J67" s="268"/>
      <c r="K67" s="268"/>
      <c r="L67" s="268"/>
      <c r="M67" s="268"/>
      <c r="N67" s="268"/>
      <c r="O67" s="268"/>
      <c r="P67" s="268"/>
      <c r="Q67" s="268"/>
      <c r="R67" s="331" t="s">
        <v>1661</v>
      </c>
      <c r="S67" s="902"/>
      <c r="T67" s="944"/>
      <c r="U67" s="937"/>
    </row>
    <row r="68" spans="1:21" ht="14.4" thickBot="1" x14ac:dyDescent="0.3">
      <c r="A68" s="907"/>
      <c r="B68" s="934"/>
      <c r="C68" s="935"/>
      <c r="D68" s="935"/>
      <c r="E68" s="935"/>
      <c r="F68" s="903"/>
      <c r="G68" s="903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332" t="s">
        <v>1662</v>
      </c>
      <c r="S68" s="903"/>
      <c r="T68" s="942"/>
      <c r="U68" s="930"/>
    </row>
    <row r="69" spans="1:21" x14ac:dyDescent="0.25">
      <c r="A69" s="922" t="s">
        <v>1663</v>
      </c>
      <c r="B69" s="932" t="s">
        <v>1664</v>
      </c>
      <c r="C69" s="938">
        <v>0</v>
      </c>
      <c r="D69" s="938">
        <v>0.15</v>
      </c>
      <c r="E69" s="899">
        <v>0.15</v>
      </c>
      <c r="F69" s="901">
        <f>D69*3*1000</f>
        <v>449.99999999999994</v>
      </c>
      <c r="G69" s="901" t="s">
        <v>32</v>
      </c>
      <c r="H69" s="260"/>
      <c r="I69" s="260"/>
      <c r="J69" s="260"/>
      <c r="K69" s="260"/>
      <c r="L69" s="260"/>
      <c r="M69" s="260"/>
      <c r="N69" s="260"/>
      <c r="O69" s="260"/>
      <c r="P69" s="260"/>
      <c r="Q69" s="260"/>
      <c r="R69" s="321" t="s">
        <v>1665</v>
      </c>
      <c r="S69" s="901"/>
      <c r="T69" s="941" t="s">
        <v>252</v>
      </c>
      <c r="U69" s="929"/>
    </row>
    <row r="70" spans="1:21" ht="49.2" customHeight="1" thickBot="1" x14ac:dyDescent="0.3">
      <c r="A70" s="907"/>
      <c r="B70" s="934"/>
      <c r="C70" s="939"/>
      <c r="D70" s="939"/>
      <c r="E70" s="935"/>
      <c r="F70" s="903"/>
      <c r="G70" s="903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318" t="s">
        <v>1666</v>
      </c>
      <c r="S70" s="903"/>
      <c r="T70" s="942"/>
      <c r="U70" s="930"/>
    </row>
    <row r="71" spans="1:21" x14ac:dyDescent="0.25">
      <c r="A71" s="922" t="s">
        <v>1667</v>
      </c>
      <c r="B71" s="932" t="s">
        <v>1668</v>
      </c>
      <c r="C71" s="938">
        <v>0</v>
      </c>
      <c r="D71" s="938">
        <v>0.17</v>
      </c>
      <c r="E71" s="938">
        <v>0.33</v>
      </c>
      <c r="F71" s="901">
        <f>E71*4*1000</f>
        <v>1320</v>
      </c>
      <c r="G71" s="941" t="s">
        <v>32</v>
      </c>
      <c r="H71" s="260"/>
      <c r="I71" s="260"/>
      <c r="J71" s="260"/>
      <c r="K71" s="260"/>
      <c r="L71" s="260"/>
      <c r="M71" s="260"/>
      <c r="N71" s="260"/>
      <c r="O71" s="260"/>
      <c r="P71" s="260"/>
      <c r="Q71" s="260"/>
      <c r="R71" s="321" t="s">
        <v>1669</v>
      </c>
      <c r="S71" s="901"/>
      <c r="T71" s="941" t="s">
        <v>252</v>
      </c>
      <c r="U71" s="929"/>
    </row>
    <row r="72" spans="1:21" x14ac:dyDescent="0.25">
      <c r="A72" s="931"/>
      <c r="B72" s="933"/>
      <c r="C72" s="940"/>
      <c r="D72" s="940"/>
      <c r="E72" s="940"/>
      <c r="F72" s="902"/>
      <c r="G72" s="944"/>
      <c r="H72" s="268"/>
      <c r="I72" s="268"/>
      <c r="J72" s="268"/>
      <c r="K72" s="268"/>
      <c r="L72" s="268"/>
      <c r="M72" s="268"/>
      <c r="N72" s="268"/>
      <c r="O72" s="268"/>
      <c r="P72" s="268"/>
      <c r="Q72" s="268"/>
      <c r="R72" s="331" t="s">
        <v>1670</v>
      </c>
      <c r="S72" s="902"/>
      <c r="T72" s="944"/>
      <c r="U72" s="937"/>
    </row>
    <row r="73" spans="1:21" x14ac:dyDescent="0.25">
      <c r="A73" s="931"/>
      <c r="B73" s="933"/>
      <c r="C73" s="940">
        <v>0.17</v>
      </c>
      <c r="D73" s="940">
        <v>0.26</v>
      </c>
      <c r="E73" s="940"/>
      <c r="F73" s="902"/>
      <c r="G73" s="944"/>
      <c r="H73" s="268"/>
      <c r="I73" s="268"/>
      <c r="J73" s="268"/>
      <c r="K73" s="268"/>
      <c r="L73" s="268"/>
      <c r="M73" s="268"/>
      <c r="N73" s="268"/>
      <c r="O73" s="268"/>
      <c r="P73" s="268"/>
      <c r="Q73" s="268"/>
      <c r="R73" s="274" t="s">
        <v>1669</v>
      </c>
      <c r="S73" s="902"/>
      <c r="T73" s="944"/>
      <c r="U73" s="937"/>
    </row>
    <row r="74" spans="1:21" ht="24.75" customHeight="1" x14ac:dyDescent="0.25">
      <c r="A74" s="931"/>
      <c r="B74" s="933"/>
      <c r="C74" s="940"/>
      <c r="D74" s="940"/>
      <c r="E74" s="940"/>
      <c r="F74" s="902"/>
      <c r="G74" s="944"/>
      <c r="H74" s="268"/>
      <c r="I74" s="268"/>
      <c r="J74" s="268"/>
      <c r="K74" s="268"/>
      <c r="L74" s="268"/>
      <c r="M74" s="268"/>
      <c r="N74" s="268"/>
      <c r="O74" s="268"/>
      <c r="P74" s="268"/>
      <c r="Q74" s="268"/>
      <c r="R74" s="331" t="s">
        <v>1671</v>
      </c>
      <c r="S74" s="902"/>
      <c r="T74" s="944"/>
      <c r="U74" s="937"/>
    </row>
    <row r="75" spans="1:21" x14ac:dyDescent="0.25">
      <c r="A75" s="931"/>
      <c r="B75" s="933"/>
      <c r="C75" s="940">
        <v>0.26</v>
      </c>
      <c r="D75" s="940">
        <v>0.33</v>
      </c>
      <c r="E75" s="940"/>
      <c r="F75" s="902"/>
      <c r="G75" s="944"/>
      <c r="H75" s="268"/>
      <c r="I75" s="268"/>
      <c r="J75" s="268"/>
      <c r="K75" s="268"/>
      <c r="L75" s="268"/>
      <c r="M75" s="268"/>
      <c r="N75" s="268"/>
      <c r="O75" s="268"/>
      <c r="P75" s="268"/>
      <c r="Q75" s="268"/>
      <c r="R75" s="331" t="s">
        <v>1669</v>
      </c>
      <c r="S75" s="902"/>
      <c r="T75" s="944"/>
      <c r="U75" s="937"/>
    </row>
    <row r="76" spans="1:21" ht="14.4" thickBot="1" x14ac:dyDescent="0.3">
      <c r="A76" s="907"/>
      <c r="B76" s="934"/>
      <c r="C76" s="939"/>
      <c r="D76" s="939"/>
      <c r="E76" s="939"/>
      <c r="F76" s="903"/>
      <c r="G76" s="942"/>
      <c r="H76" s="247"/>
      <c r="I76" s="247"/>
      <c r="J76" s="247"/>
      <c r="K76" s="247"/>
      <c r="L76" s="247"/>
      <c r="M76" s="247"/>
      <c r="N76" s="247"/>
      <c r="O76" s="247"/>
      <c r="P76" s="247"/>
      <c r="Q76" s="247"/>
      <c r="R76" s="332" t="s">
        <v>1672</v>
      </c>
      <c r="S76" s="903"/>
      <c r="T76" s="942"/>
      <c r="U76" s="930"/>
    </row>
    <row r="77" spans="1:21" ht="60.6" thickBot="1" x14ac:dyDescent="0.3">
      <c r="A77" s="249" t="s">
        <v>1673</v>
      </c>
      <c r="B77" s="264" t="s">
        <v>1674</v>
      </c>
      <c r="C77" s="263">
        <v>0</v>
      </c>
      <c r="D77" s="263">
        <v>0.21</v>
      </c>
      <c r="E77" s="263">
        <v>0.21</v>
      </c>
      <c r="F77" s="252">
        <f>D77*4*1000</f>
        <v>840</v>
      </c>
      <c r="G77" s="252" t="s">
        <v>32</v>
      </c>
      <c r="H77" s="252"/>
      <c r="I77" s="252"/>
      <c r="J77" s="252"/>
      <c r="K77" s="252"/>
      <c r="L77" s="252"/>
      <c r="M77" s="252"/>
      <c r="N77" s="252"/>
      <c r="O77" s="252"/>
      <c r="P77" s="252"/>
      <c r="Q77" s="252"/>
      <c r="R77" s="293" t="s">
        <v>1675</v>
      </c>
      <c r="S77" s="255" t="s">
        <v>1588</v>
      </c>
      <c r="T77" s="65" t="s">
        <v>252</v>
      </c>
      <c r="U77" s="66"/>
    </row>
    <row r="78" spans="1:21" x14ac:dyDescent="0.25">
      <c r="A78" s="922" t="s">
        <v>1676</v>
      </c>
      <c r="B78" s="932" t="s">
        <v>1677</v>
      </c>
      <c r="C78" s="899">
        <v>0</v>
      </c>
      <c r="D78" s="899">
        <v>0.71</v>
      </c>
      <c r="E78" s="899">
        <v>0.71</v>
      </c>
      <c r="F78" s="901">
        <f>E78*4*1000</f>
        <v>2840</v>
      </c>
      <c r="G78" s="901" t="s">
        <v>32</v>
      </c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333" t="s">
        <v>1678</v>
      </c>
      <c r="S78" s="901"/>
      <c r="T78" s="941" t="s">
        <v>252</v>
      </c>
      <c r="U78" s="929"/>
    </row>
    <row r="79" spans="1:21" x14ac:dyDescent="0.25">
      <c r="A79" s="931"/>
      <c r="B79" s="933"/>
      <c r="C79" s="900"/>
      <c r="D79" s="900"/>
      <c r="E79" s="900"/>
      <c r="F79" s="902"/>
      <c r="G79" s="902"/>
      <c r="H79" s="268"/>
      <c r="I79" s="268"/>
      <c r="J79" s="268"/>
      <c r="K79" s="268"/>
      <c r="L79" s="268"/>
      <c r="M79" s="268"/>
      <c r="N79" s="268"/>
      <c r="O79" s="268"/>
      <c r="P79" s="268"/>
      <c r="Q79" s="268"/>
      <c r="R79" s="274" t="s">
        <v>1679</v>
      </c>
      <c r="S79" s="902"/>
      <c r="T79" s="944"/>
      <c r="U79" s="937"/>
    </row>
    <row r="80" spans="1:21" x14ac:dyDescent="0.25">
      <c r="A80" s="931"/>
      <c r="B80" s="933"/>
      <c r="C80" s="900"/>
      <c r="D80" s="900"/>
      <c r="E80" s="900"/>
      <c r="F80" s="902"/>
      <c r="G80" s="902"/>
      <c r="H80" s="268"/>
      <c r="I80" s="268"/>
      <c r="J80" s="268"/>
      <c r="K80" s="268"/>
      <c r="L80" s="268"/>
      <c r="M80" s="268"/>
      <c r="N80" s="268"/>
      <c r="O80" s="268"/>
      <c r="P80" s="268"/>
      <c r="Q80" s="268"/>
      <c r="R80" s="274" t="s">
        <v>1680</v>
      </c>
      <c r="S80" s="902"/>
      <c r="T80" s="944"/>
      <c r="U80" s="937"/>
    </row>
    <row r="81" spans="1:32" x14ac:dyDescent="0.25">
      <c r="A81" s="931"/>
      <c r="B81" s="933"/>
      <c r="C81" s="900"/>
      <c r="D81" s="900"/>
      <c r="E81" s="900"/>
      <c r="F81" s="902"/>
      <c r="G81" s="902"/>
      <c r="H81" s="268"/>
      <c r="I81" s="268"/>
      <c r="J81" s="268"/>
      <c r="K81" s="268"/>
      <c r="L81" s="268"/>
      <c r="M81" s="268"/>
      <c r="N81" s="268"/>
      <c r="O81" s="268"/>
      <c r="P81" s="268"/>
      <c r="Q81" s="268"/>
      <c r="R81" s="274" t="s">
        <v>1681</v>
      </c>
      <c r="S81" s="902"/>
      <c r="T81" s="944"/>
      <c r="U81" s="937"/>
    </row>
    <row r="82" spans="1:32" x14ac:dyDescent="0.25">
      <c r="A82" s="931"/>
      <c r="B82" s="933"/>
      <c r="C82" s="900"/>
      <c r="D82" s="900"/>
      <c r="E82" s="900"/>
      <c r="F82" s="902"/>
      <c r="G82" s="902"/>
      <c r="H82" s="268"/>
      <c r="I82" s="268"/>
      <c r="J82" s="268"/>
      <c r="K82" s="268"/>
      <c r="L82" s="268"/>
      <c r="M82" s="268"/>
      <c r="N82" s="268"/>
      <c r="O82" s="268"/>
      <c r="P82" s="268"/>
      <c r="Q82" s="268"/>
      <c r="R82" s="274" t="s">
        <v>1682</v>
      </c>
      <c r="S82" s="902"/>
      <c r="T82" s="944"/>
      <c r="U82" s="937"/>
    </row>
    <row r="83" spans="1:32" x14ac:dyDescent="0.25">
      <c r="A83" s="931"/>
      <c r="B83" s="933"/>
      <c r="C83" s="900"/>
      <c r="D83" s="900"/>
      <c r="E83" s="900"/>
      <c r="F83" s="902"/>
      <c r="G83" s="902"/>
      <c r="H83" s="268"/>
      <c r="I83" s="268"/>
      <c r="J83" s="268"/>
      <c r="K83" s="268"/>
      <c r="L83" s="268"/>
      <c r="M83" s="268"/>
      <c r="N83" s="268"/>
      <c r="O83" s="268"/>
      <c r="P83" s="268"/>
      <c r="Q83" s="268"/>
      <c r="R83" s="274" t="s">
        <v>1683</v>
      </c>
      <c r="S83" s="902"/>
      <c r="T83" s="944"/>
      <c r="U83" s="937"/>
    </row>
    <row r="84" spans="1:32" ht="14.4" thickBot="1" x14ac:dyDescent="0.3">
      <c r="A84" s="907"/>
      <c r="B84" s="934"/>
      <c r="C84" s="935"/>
      <c r="D84" s="935"/>
      <c r="E84" s="935"/>
      <c r="F84" s="903"/>
      <c r="G84" s="903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318" t="s">
        <v>1684</v>
      </c>
      <c r="S84" s="903"/>
      <c r="T84" s="942"/>
      <c r="U84" s="930"/>
    </row>
    <row r="85" spans="1:32" x14ac:dyDescent="0.25">
      <c r="B85" s="334"/>
      <c r="G85" s="335"/>
    </row>
    <row r="86" spans="1:32" ht="24" x14ac:dyDescent="0.25">
      <c r="B86" s="61" t="s">
        <v>202</v>
      </c>
    </row>
    <row r="87" spans="1:32" ht="24" x14ac:dyDescent="0.25">
      <c r="B87" s="61" t="s">
        <v>203</v>
      </c>
    </row>
    <row r="88" spans="1:32" ht="24" x14ac:dyDescent="0.25">
      <c r="B88" s="61" t="s">
        <v>204</v>
      </c>
    </row>
    <row r="89" spans="1:32" ht="24" x14ac:dyDescent="0.25">
      <c r="B89" s="61" t="s">
        <v>205</v>
      </c>
    </row>
    <row r="91" spans="1:32" s="59" customFormat="1" ht="27.6" customHeight="1" x14ac:dyDescent="0.25">
      <c r="A91" s="509"/>
      <c r="B91" s="509"/>
      <c r="C91" s="512" t="s">
        <v>3985</v>
      </c>
      <c r="D91" s="543" t="s">
        <v>3986</v>
      </c>
      <c r="E91" s="543"/>
      <c r="F91" s="543"/>
      <c r="G91" s="509"/>
      <c r="H91" s="509"/>
      <c r="I91" s="509"/>
      <c r="J91" s="509"/>
      <c r="K91" s="509"/>
      <c r="L91" s="509"/>
      <c r="M91" s="509"/>
      <c r="N91" s="509"/>
      <c r="O91" s="509"/>
      <c r="P91" s="509"/>
      <c r="Q91" s="509"/>
      <c r="R91" s="509"/>
      <c r="S91" s="509"/>
      <c r="T91" s="509"/>
      <c r="U91" s="509"/>
      <c r="V91" s="509"/>
      <c r="W91" s="509"/>
      <c r="X91" s="509"/>
      <c r="Y91" s="509"/>
      <c r="Z91" s="509"/>
      <c r="AA91" s="509"/>
      <c r="AB91" s="509"/>
      <c r="AC91" s="509"/>
      <c r="AD91" s="509"/>
      <c r="AE91" s="510"/>
      <c r="AF91" s="510"/>
    </row>
    <row r="92" spans="1:32" s="59" customFormat="1" x14ac:dyDescent="0.25">
      <c r="A92" s="509"/>
      <c r="B92" s="509"/>
      <c r="C92" s="509"/>
      <c r="D92" s="509"/>
      <c r="E92" s="509"/>
      <c r="F92" s="509"/>
      <c r="G92" s="509"/>
      <c r="H92" s="509"/>
      <c r="I92" s="509"/>
      <c r="J92" s="509"/>
      <c r="K92" s="509"/>
      <c r="L92" s="509"/>
      <c r="M92" s="509"/>
      <c r="N92" s="509"/>
      <c r="O92" s="509"/>
      <c r="P92" s="509"/>
      <c r="Q92" s="509"/>
      <c r="R92" s="509"/>
      <c r="S92" s="509"/>
      <c r="T92" s="509"/>
      <c r="U92" s="509"/>
      <c r="V92" s="509"/>
      <c r="W92" s="509"/>
      <c r="X92" s="509"/>
      <c r="Y92" s="509"/>
      <c r="Z92" s="509"/>
      <c r="AA92" s="509"/>
      <c r="AB92" s="509"/>
      <c r="AC92" s="509"/>
      <c r="AD92" s="509"/>
      <c r="AE92" s="510"/>
      <c r="AF92" s="510"/>
    </row>
    <row r="93" spans="1:32" s="59" customFormat="1" x14ac:dyDescent="0.25">
      <c r="A93" s="509"/>
      <c r="B93" s="509"/>
      <c r="C93" s="509"/>
      <c r="D93" s="509"/>
      <c r="E93" s="509"/>
      <c r="F93" s="509"/>
      <c r="G93" s="509"/>
      <c r="H93" s="509"/>
      <c r="I93" s="509"/>
      <c r="J93" s="509"/>
      <c r="K93" s="509"/>
      <c r="L93" s="509"/>
      <c r="M93" s="509"/>
      <c r="N93" s="509"/>
      <c r="O93" s="509"/>
      <c r="P93" s="509"/>
      <c r="Q93" s="509"/>
      <c r="R93" s="509"/>
      <c r="S93" s="509"/>
      <c r="T93" s="509"/>
      <c r="U93" s="509"/>
      <c r="V93" s="509"/>
      <c r="W93" s="509"/>
      <c r="X93" s="509"/>
      <c r="Y93" s="509"/>
      <c r="Z93" s="509"/>
      <c r="AA93" s="509"/>
      <c r="AB93" s="509"/>
      <c r="AC93" s="509"/>
      <c r="AD93" s="509"/>
      <c r="AE93" s="417"/>
      <c r="AF93" s="510"/>
    </row>
    <row r="94" spans="1:32" s="59" customFormat="1" x14ac:dyDescent="0.25">
      <c r="B94" s="60"/>
      <c r="C94" s="438" t="s">
        <v>3989</v>
      </c>
      <c r="D94" s="544" t="s">
        <v>3990</v>
      </c>
      <c r="E94" s="544"/>
      <c r="F94" s="544"/>
      <c r="G94" s="544"/>
      <c r="H94" s="544"/>
      <c r="I94" s="544"/>
      <c r="T94" s="60"/>
      <c r="U94" s="60"/>
    </row>
    <row r="95" spans="1:32" s="59" customFormat="1" ht="13.95" customHeight="1" x14ac:dyDescent="0.25">
      <c r="B95" s="60"/>
      <c r="C95" s="438" t="s">
        <v>3987</v>
      </c>
      <c r="D95" s="553" t="s">
        <v>3988</v>
      </c>
      <c r="E95" s="553"/>
      <c r="F95" s="553"/>
      <c r="G95" s="553"/>
      <c r="H95" s="553"/>
      <c r="I95" s="553"/>
      <c r="T95" s="60"/>
      <c r="U95" s="60"/>
    </row>
    <row r="96" spans="1:32" s="59" customFormat="1" ht="14.4" customHeight="1" x14ac:dyDescent="0.25">
      <c r="T96" s="60"/>
      <c r="U96" s="60"/>
    </row>
    <row r="97" spans="1:21" s="59" customFormat="1" x14ac:dyDescent="0.25">
      <c r="A97" s="469"/>
      <c r="B97" s="743" t="s">
        <v>3984</v>
      </c>
      <c r="C97" s="743"/>
      <c r="D97" s="743"/>
      <c r="E97" s="743"/>
      <c r="F97" s="743"/>
      <c r="G97" s="743"/>
      <c r="H97" s="743"/>
      <c r="I97" s="743"/>
      <c r="T97" s="304"/>
      <c r="U97" s="304"/>
    </row>
  </sheetData>
  <mergeCells count="209">
    <mergeCell ref="D91:F91"/>
    <mergeCell ref="D94:I94"/>
    <mergeCell ref="D95:I95"/>
    <mergeCell ref="B97:I97"/>
    <mergeCell ref="G78:G84"/>
    <mergeCell ref="S78:S84"/>
    <mergeCell ref="T78:T84"/>
    <mergeCell ref="U78:U84"/>
    <mergeCell ref="A78:A84"/>
    <mergeCell ref="B78:B84"/>
    <mergeCell ref="C78:C84"/>
    <mergeCell ref="D78:D84"/>
    <mergeCell ref="E78:E84"/>
    <mergeCell ref="F78:F84"/>
    <mergeCell ref="G71:G76"/>
    <mergeCell ref="S71:S76"/>
    <mergeCell ref="T71:T76"/>
    <mergeCell ref="U71:U76"/>
    <mergeCell ref="C73:C74"/>
    <mergeCell ref="D73:D74"/>
    <mergeCell ref="C75:C76"/>
    <mergeCell ref="D75:D76"/>
    <mergeCell ref="G69:G70"/>
    <mergeCell ref="S69:S70"/>
    <mergeCell ref="T69:T70"/>
    <mergeCell ref="U69:U70"/>
    <mergeCell ref="F62:F68"/>
    <mergeCell ref="A71:A76"/>
    <mergeCell ref="B71:B76"/>
    <mergeCell ref="C71:C72"/>
    <mergeCell ref="D71:D72"/>
    <mergeCell ref="E71:E76"/>
    <mergeCell ref="F71:F76"/>
    <mergeCell ref="A69:A70"/>
    <mergeCell ref="B69:B70"/>
    <mergeCell ref="C69:C70"/>
    <mergeCell ref="D69:D70"/>
    <mergeCell ref="E69:E70"/>
    <mergeCell ref="F69:F70"/>
    <mergeCell ref="C64:C65"/>
    <mergeCell ref="D64:D65"/>
    <mergeCell ref="C66:C68"/>
    <mergeCell ref="D66:D68"/>
    <mergeCell ref="A62:A68"/>
    <mergeCell ref="B62:B68"/>
    <mergeCell ref="C62:C63"/>
    <mergeCell ref="D62:D63"/>
    <mergeCell ref="E62:E68"/>
    <mergeCell ref="L60:L61"/>
    <mergeCell ref="O60:O61"/>
    <mergeCell ref="O57:O59"/>
    <mergeCell ref="P57:P59"/>
    <mergeCell ref="Q57:Q59"/>
    <mergeCell ref="G62:G68"/>
    <mergeCell ref="S62:S68"/>
    <mergeCell ref="T62:T68"/>
    <mergeCell ref="U62:U68"/>
    <mergeCell ref="K53:K54"/>
    <mergeCell ref="G55:G56"/>
    <mergeCell ref="S55:S56"/>
    <mergeCell ref="T55:T56"/>
    <mergeCell ref="U55:U56"/>
    <mergeCell ref="A57:A61"/>
    <mergeCell ref="B57:B61"/>
    <mergeCell ref="E57:E61"/>
    <mergeCell ref="F57:F61"/>
    <mergeCell ref="G57:G61"/>
    <mergeCell ref="H57:H59"/>
    <mergeCell ref="S57:S61"/>
    <mergeCell ref="T57:T61"/>
    <mergeCell ref="U57:U61"/>
    <mergeCell ref="I57:I59"/>
    <mergeCell ref="J57:J59"/>
    <mergeCell ref="K57:K59"/>
    <mergeCell ref="L57:L59"/>
    <mergeCell ref="M57:M59"/>
    <mergeCell ref="N57:N59"/>
    <mergeCell ref="C60:C61"/>
    <mergeCell ref="D60:D61"/>
    <mergeCell ref="I60:I61"/>
    <mergeCell ref="K60:K61"/>
    <mergeCell ref="S43:S45"/>
    <mergeCell ref="T43:T45"/>
    <mergeCell ref="U43:U45"/>
    <mergeCell ref="R53:R54"/>
    <mergeCell ref="S53:S54"/>
    <mergeCell ref="T53:T54"/>
    <mergeCell ref="U53:U54"/>
    <mergeCell ref="A55:A56"/>
    <mergeCell ref="B55:B56"/>
    <mergeCell ref="C55:C56"/>
    <mergeCell ref="D55:D56"/>
    <mergeCell ref="E55:E56"/>
    <mergeCell ref="F55:F56"/>
    <mergeCell ref="L53:L54"/>
    <mergeCell ref="M53:M54"/>
    <mergeCell ref="N53:N54"/>
    <mergeCell ref="O53:O54"/>
    <mergeCell ref="P53:P54"/>
    <mergeCell ref="Q53:Q54"/>
    <mergeCell ref="A53:A54"/>
    <mergeCell ref="B53:B54"/>
    <mergeCell ref="H53:H54"/>
    <mergeCell ref="I53:I54"/>
    <mergeCell ref="J53:J54"/>
    <mergeCell ref="A47:A52"/>
    <mergeCell ref="B47:B52"/>
    <mergeCell ref="C47:C48"/>
    <mergeCell ref="D47:D48"/>
    <mergeCell ref="E47:E52"/>
    <mergeCell ref="F47:F52"/>
    <mergeCell ref="G47:G52"/>
    <mergeCell ref="U31:U42"/>
    <mergeCell ref="C34:C42"/>
    <mergeCell ref="D34:D42"/>
    <mergeCell ref="A43:A45"/>
    <mergeCell ref="B43:B45"/>
    <mergeCell ref="C43:C44"/>
    <mergeCell ref="D43:D44"/>
    <mergeCell ref="E43:E45"/>
    <mergeCell ref="F43:F45"/>
    <mergeCell ref="G43:G45"/>
    <mergeCell ref="S47:S52"/>
    <mergeCell ref="T47:T52"/>
    <mergeCell ref="U47:U52"/>
    <mergeCell ref="C49:C50"/>
    <mergeCell ref="D49:D50"/>
    <mergeCell ref="C51:C52"/>
    <mergeCell ref="D51:D52"/>
    <mergeCell ref="U29:U30"/>
    <mergeCell ref="A31:A42"/>
    <mergeCell ref="B31:B42"/>
    <mergeCell ref="C31:C33"/>
    <mergeCell ref="D31:D33"/>
    <mergeCell ref="E31:E42"/>
    <mergeCell ref="F31:F42"/>
    <mergeCell ref="G31:G42"/>
    <mergeCell ref="S31:S42"/>
    <mergeCell ref="T31:T42"/>
    <mergeCell ref="A29:A30"/>
    <mergeCell ref="B29:B30"/>
    <mergeCell ref="E29:E30"/>
    <mergeCell ref="R29:R30"/>
    <mergeCell ref="S29:S30"/>
    <mergeCell ref="T29:T30"/>
    <mergeCell ref="U23:U26"/>
    <mergeCell ref="A27:A28"/>
    <mergeCell ref="B27:B28"/>
    <mergeCell ref="E27:E28"/>
    <mergeCell ref="F27:F28"/>
    <mergeCell ref="G27:G28"/>
    <mergeCell ref="T27:T28"/>
    <mergeCell ref="U27:U28"/>
    <mergeCell ref="U21:U22"/>
    <mergeCell ref="A23:A26"/>
    <mergeCell ref="B23:B26"/>
    <mergeCell ref="C23:C26"/>
    <mergeCell ref="D23:D26"/>
    <mergeCell ref="E23:E26"/>
    <mergeCell ref="F23:F26"/>
    <mergeCell ref="G23:G26"/>
    <mergeCell ref="S23:S26"/>
    <mergeCell ref="T23:T26"/>
    <mergeCell ref="A21:A22"/>
    <mergeCell ref="B21:B22"/>
    <mergeCell ref="E21:E22"/>
    <mergeCell ref="R21:R22"/>
    <mergeCell ref="S21:S22"/>
    <mergeCell ref="T21:T22"/>
    <mergeCell ref="Q4:Q5"/>
    <mergeCell ref="R4:R5"/>
    <mergeCell ref="A7:A20"/>
    <mergeCell ref="B7:B20"/>
    <mergeCell ref="E7:E20"/>
    <mergeCell ref="D17:D20"/>
    <mergeCell ref="S7:S20"/>
    <mergeCell ref="T7:T20"/>
    <mergeCell ref="U7:U20"/>
    <mergeCell ref="F8:F12"/>
    <mergeCell ref="G8:G12"/>
    <mergeCell ref="C9:C12"/>
    <mergeCell ref="D9:D12"/>
    <mergeCell ref="F13:F20"/>
    <mergeCell ref="G13:G20"/>
    <mergeCell ref="C17:C20"/>
    <mergeCell ref="E53:E54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  <mergeCell ref="O4:O5"/>
    <mergeCell ref="P4:P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03B9C-759F-42AD-A4BC-1A67E3C804E2}">
  <dimension ref="A1:AF167"/>
  <sheetViews>
    <sheetView workbookViewId="0">
      <selection activeCell="V5" sqref="V5"/>
    </sheetView>
  </sheetViews>
  <sheetFormatPr defaultColWidth="8.88671875" defaultRowHeight="14.4" x14ac:dyDescent="0.3"/>
  <cols>
    <col min="1" max="1" width="15.5546875" style="352" bestFit="1" customWidth="1"/>
    <col min="2" max="2" width="38.33203125" style="352" customWidth="1"/>
    <col min="3" max="3" width="10.88671875" style="352" customWidth="1"/>
    <col min="4" max="4" width="11.5546875" style="352" bestFit="1" customWidth="1"/>
    <col min="5" max="5" width="8.88671875" style="352"/>
    <col min="6" max="6" width="11.109375" style="352" customWidth="1"/>
    <col min="7" max="7" width="8.88671875" style="352"/>
    <col min="8" max="8" width="11.109375" style="352" customWidth="1"/>
    <col min="9" max="9" width="17.109375" style="352" customWidth="1"/>
    <col min="10" max="10" width="13.6640625" style="352" customWidth="1"/>
    <col min="11" max="11" width="8.88671875" style="352"/>
    <col min="12" max="12" width="11.6640625" style="352" customWidth="1"/>
    <col min="13" max="13" width="13.6640625" style="352" customWidth="1"/>
    <col min="14" max="14" width="11.5546875" style="352" customWidth="1"/>
    <col min="15" max="15" width="11.6640625" style="352" customWidth="1"/>
    <col min="16" max="16" width="8.88671875" style="352"/>
    <col min="17" max="18" width="17.6640625" style="352" customWidth="1"/>
    <col min="19" max="19" width="16.33203125" style="352" customWidth="1"/>
    <col min="20" max="20" width="35.5546875" style="370" customWidth="1"/>
    <col min="21" max="21" width="16.33203125" style="371" customWidth="1"/>
    <col min="22" max="22" width="15.109375" style="352" customWidth="1"/>
    <col min="23" max="16384" width="8.88671875" style="352"/>
  </cols>
  <sheetData>
    <row r="1" spans="1:21" ht="18" thickBot="1" x14ac:dyDescent="0.35">
      <c r="A1" s="1057" t="s">
        <v>1974</v>
      </c>
      <c r="B1" s="1057"/>
      <c r="C1" s="1057"/>
      <c r="D1" s="1057"/>
      <c r="E1" s="1057"/>
      <c r="F1" s="1057"/>
      <c r="G1" s="1057"/>
      <c r="H1" s="1057"/>
      <c r="I1" s="1057"/>
      <c r="J1" s="1057"/>
      <c r="K1" s="1057"/>
      <c r="L1" s="1057"/>
      <c r="M1" s="1057"/>
      <c r="N1" s="1057"/>
      <c r="O1" s="1057"/>
      <c r="P1" s="1057"/>
      <c r="Q1" s="1057"/>
      <c r="R1" s="1057"/>
      <c r="S1" s="1057"/>
      <c r="T1" s="1057"/>
      <c r="U1" s="1057"/>
    </row>
    <row r="2" spans="1:21" ht="15" thickBot="1" x14ac:dyDescent="0.35">
      <c r="A2" s="1013" t="s">
        <v>1</v>
      </c>
      <c r="B2" s="1015" t="s">
        <v>2</v>
      </c>
      <c r="C2" s="1017" t="s">
        <v>3</v>
      </c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9"/>
      <c r="R2" s="1015" t="s">
        <v>4</v>
      </c>
      <c r="S2" s="1021" t="s">
        <v>5</v>
      </c>
      <c r="T2" s="1023" t="s">
        <v>207</v>
      </c>
      <c r="U2" s="1025" t="s">
        <v>7</v>
      </c>
    </row>
    <row r="3" spans="1:21" ht="39" customHeight="1" thickBot="1" x14ac:dyDescent="0.35">
      <c r="A3" s="1014"/>
      <c r="B3" s="1016"/>
      <c r="C3" s="1027" t="s">
        <v>8</v>
      </c>
      <c r="D3" s="1028"/>
      <c r="E3" s="1028"/>
      <c r="F3" s="1028"/>
      <c r="G3" s="1029"/>
      <c r="H3" s="1027" t="s">
        <v>9</v>
      </c>
      <c r="I3" s="1028"/>
      <c r="J3" s="1028"/>
      <c r="K3" s="1028"/>
      <c r="L3" s="1028"/>
      <c r="M3" s="1028"/>
      <c r="N3" s="1028"/>
      <c r="O3" s="1029"/>
      <c r="P3" s="1027" t="s">
        <v>10</v>
      </c>
      <c r="Q3" s="1029"/>
      <c r="R3" s="1020"/>
      <c r="S3" s="1022"/>
      <c r="T3" s="1024"/>
      <c r="U3" s="1026"/>
    </row>
    <row r="4" spans="1:21" ht="15" thickBot="1" x14ac:dyDescent="0.35">
      <c r="A4" s="1014"/>
      <c r="B4" s="1016"/>
      <c r="C4" s="1027" t="s">
        <v>11</v>
      </c>
      <c r="D4" s="1029"/>
      <c r="E4" s="1030" t="s">
        <v>12</v>
      </c>
      <c r="F4" s="1030" t="s">
        <v>13</v>
      </c>
      <c r="G4" s="1030" t="s">
        <v>14</v>
      </c>
      <c r="H4" s="1030" t="s">
        <v>15</v>
      </c>
      <c r="I4" s="1027" t="s">
        <v>16</v>
      </c>
      <c r="J4" s="1029"/>
      <c r="K4" s="1030" t="s">
        <v>17</v>
      </c>
      <c r="L4" s="1030" t="s">
        <v>13</v>
      </c>
      <c r="M4" s="1030" t="s">
        <v>18</v>
      </c>
      <c r="N4" s="1030" t="s">
        <v>19</v>
      </c>
      <c r="O4" s="1030" t="s">
        <v>210</v>
      </c>
      <c r="P4" s="1030" t="s">
        <v>20</v>
      </c>
      <c r="Q4" s="1030" t="s">
        <v>17</v>
      </c>
      <c r="R4" s="1030" t="s">
        <v>21</v>
      </c>
      <c r="S4" s="1022"/>
      <c r="T4" s="1024"/>
      <c r="U4" s="1026"/>
    </row>
    <row r="5" spans="1:21" ht="48" customHeight="1" thickBot="1" x14ac:dyDescent="0.35">
      <c r="A5" s="1014"/>
      <c r="B5" s="1016"/>
      <c r="C5" s="315" t="s">
        <v>22</v>
      </c>
      <c r="D5" s="315" t="s">
        <v>23</v>
      </c>
      <c r="E5" s="1016"/>
      <c r="F5" s="1016"/>
      <c r="G5" s="1016"/>
      <c r="H5" s="1016"/>
      <c r="I5" s="315" t="s">
        <v>24</v>
      </c>
      <c r="J5" s="315" t="s">
        <v>25</v>
      </c>
      <c r="K5" s="1016"/>
      <c r="L5" s="1016"/>
      <c r="M5" s="1016"/>
      <c r="N5" s="1016"/>
      <c r="O5" s="1016"/>
      <c r="P5" s="1016"/>
      <c r="Q5" s="1016"/>
      <c r="R5" s="1016"/>
      <c r="S5" s="1022"/>
      <c r="T5" s="1024"/>
      <c r="U5" s="1026"/>
    </row>
    <row r="6" spans="1:21" ht="15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66">
        <v>21</v>
      </c>
    </row>
    <row r="7" spans="1:21" x14ac:dyDescent="0.3">
      <c r="A7" s="1058" t="s">
        <v>1975</v>
      </c>
      <c r="B7" s="1061" t="s">
        <v>1976</v>
      </c>
      <c r="C7" s="1064">
        <v>0</v>
      </c>
      <c r="D7" s="1064">
        <v>0.89</v>
      </c>
      <c r="E7" s="1064">
        <v>0.89</v>
      </c>
      <c r="F7" s="1065">
        <v>6265</v>
      </c>
      <c r="G7" s="1066" t="s">
        <v>51</v>
      </c>
      <c r="H7" s="316" t="s">
        <v>1977</v>
      </c>
      <c r="I7" s="316"/>
      <c r="J7" s="316" t="s">
        <v>1978</v>
      </c>
      <c r="K7" s="316">
        <v>4</v>
      </c>
      <c r="L7" s="316">
        <v>24</v>
      </c>
      <c r="M7" s="316"/>
      <c r="N7" s="316"/>
      <c r="O7" s="316" t="s">
        <v>1979</v>
      </c>
      <c r="P7" s="316"/>
      <c r="Q7" s="316"/>
      <c r="R7" s="1066" t="s">
        <v>1980</v>
      </c>
      <c r="S7" s="1066" t="s">
        <v>1981</v>
      </c>
      <c r="T7" s="1069" t="s">
        <v>1982</v>
      </c>
      <c r="U7" s="1070"/>
    </row>
    <row r="8" spans="1:21" x14ac:dyDescent="0.3">
      <c r="A8" s="1059"/>
      <c r="B8" s="1062"/>
      <c r="C8" s="940"/>
      <c r="D8" s="940"/>
      <c r="E8" s="940"/>
      <c r="F8" s="1053"/>
      <c r="G8" s="1067"/>
      <c r="H8" s="273"/>
      <c r="I8" s="273"/>
      <c r="J8" s="273" t="s">
        <v>1983</v>
      </c>
      <c r="K8" s="273"/>
      <c r="L8" s="273"/>
      <c r="M8" s="273"/>
      <c r="N8" s="273"/>
      <c r="O8" s="273"/>
      <c r="P8" s="273"/>
      <c r="Q8" s="273"/>
      <c r="R8" s="1067"/>
      <c r="S8" s="1067"/>
      <c r="T8" s="944"/>
      <c r="U8" s="937"/>
    </row>
    <row r="9" spans="1:21" x14ac:dyDescent="0.3">
      <c r="A9" s="1059"/>
      <c r="B9" s="1062"/>
      <c r="C9" s="940"/>
      <c r="D9" s="940"/>
      <c r="E9" s="940"/>
      <c r="F9" s="1053"/>
      <c r="G9" s="1067"/>
      <c r="H9" s="273" t="s">
        <v>1984</v>
      </c>
      <c r="I9" s="273"/>
      <c r="J9" s="273" t="s">
        <v>1985</v>
      </c>
      <c r="K9" s="273">
        <v>10</v>
      </c>
      <c r="L9" s="273">
        <v>60</v>
      </c>
      <c r="M9" s="273"/>
      <c r="N9" s="273"/>
      <c r="O9" s="273" t="s">
        <v>1979</v>
      </c>
      <c r="P9" s="273"/>
      <c r="Q9" s="273"/>
      <c r="R9" s="1067"/>
      <c r="S9" s="1067"/>
      <c r="T9" s="944"/>
      <c r="U9" s="937"/>
    </row>
    <row r="10" spans="1:21" x14ac:dyDescent="0.3">
      <c r="A10" s="1059"/>
      <c r="B10" s="1062"/>
      <c r="C10" s="940"/>
      <c r="D10" s="940"/>
      <c r="E10" s="940"/>
      <c r="F10" s="1053"/>
      <c r="G10" s="1067"/>
      <c r="H10" s="273"/>
      <c r="I10" s="273"/>
      <c r="J10" s="273" t="s">
        <v>1986</v>
      </c>
      <c r="K10" s="273"/>
      <c r="L10" s="273"/>
      <c r="M10" s="273"/>
      <c r="N10" s="273"/>
      <c r="O10" s="273"/>
      <c r="P10" s="273"/>
      <c r="Q10" s="273"/>
      <c r="R10" s="1067"/>
      <c r="S10" s="1067"/>
      <c r="T10" s="944"/>
      <c r="U10" s="937"/>
    </row>
    <row r="11" spans="1:21" ht="15" thickBot="1" x14ac:dyDescent="0.35">
      <c r="A11" s="1060"/>
      <c r="B11" s="1063"/>
      <c r="C11" s="939"/>
      <c r="D11" s="939"/>
      <c r="E11" s="939"/>
      <c r="F11" s="1054"/>
      <c r="G11" s="1068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1068"/>
      <c r="S11" s="1068"/>
      <c r="T11" s="942"/>
      <c r="U11" s="930"/>
    </row>
    <row r="12" spans="1:21" ht="36.6" thickBot="1" x14ac:dyDescent="0.35">
      <c r="A12" s="353" t="s">
        <v>1987</v>
      </c>
      <c r="B12" s="354" t="s">
        <v>948</v>
      </c>
      <c r="C12" s="263">
        <v>0</v>
      </c>
      <c r="D12" s="263">
        <v>0.99</v>
      </c>
      <c r="E12" s="263">
        <v>0.99</v>
      </c>
      <c r="F12" s="355">
        <v>7381</v>
      </c>
      <c r="G12" s="356" t="s">
        <v>51</v>
      </c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356" t="s">
        <v>1988</v>
      </c>
      <c r="S12" s="356" t="s">
        <v>1981</v>
      </c>
      <c r="T12" s="65" t="s">
        <v>1982</v>
      </c>
      <c r="U12" s="258"/>
    </row>
    <row r="13" spans="1:21" ht="75" customHeight="1" thickBot="1" x14ac:dyDescent="0.35">
      <c r="A13" s="353" t="s">
        <v>1989</v>
      </c>
      <c r="B13" s="354" t="s">
        <v>251</v>
      </c>
      <c r="C13" s="263">
        <v>0</v>
      </c>
      <c r="D13" s="263">
        <v>0.59</v>
      </c>
      <c r="E13" s="263">
        <v>0.59299999999999997</v>
      </c>
      <c r="F13" s="355">
        <v>2965</v>
      </c>
      <c r="G13" s="356" t="s">
        <v>51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356" t="s">
        <v>1990</v>
      </c>
      <c r="S13" s="356" t="s">
        <v>1981</v>
      </c>
      <c r="T13" s="356" t="s">
        <v>1982</v>
      </c>
      <c r="U13" s="357"/>
    </row>
    <row r="14" spans="1:21" ht="36.6" thickBot="1" x14ac:dyDescent="0.35">
      <c r="A14" s="353" t="s">
        <v>1991</v>
      </c>
      <c r="B14" s="354" t="s">
        <v>1992</v>
      </c>
      <c r="C14" s="263">
        <v>0</v>
      </c>
      <c r="D14" s="263">
        <v>0.7</v>
      </c>
      <c r="E14" s="263">
        <v>0.7</v>
      </c>
      <c r="F14" s="355">
        <v>3470</v>
      </c>
      <c r="G14" s="263" t="s">
        <v>32</v>
      </c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356" t="s">
        <v>1993</v>
      </c>
      <c r="S14" s="356" t="s">
        <v>1981</v>
      </c>
      <c r="T14" s="356" t="s">
        <v>1982</v>
      </c>
      <c r="U14" s="357"/>
    </row>
    <row r="15" spans="1:21" ht="36.6" thickBot="1" x14ac:dyDescent="0.35">
      <c r="A15" s="353" t="s">
        <v>1994</v>
      </c>
      <c r="B15" s="354" t="s">
        <v>230</v>
      </c>
      <c r="C15" s="263">
        <v>0</v>
      </c>
      <c r="D15" s="263">
        <v>0.13</v>
      </c>
      <c r="E15" s="263">
        <v>0.13</v>
      </c>
      <c r="F15" s="355">
        <v>1098</v>
      </c>
      <c r="G15" s="356" t="s">
        <v>32</v>
      </c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356" t="s">
        <v>1995</v>
      </c>
      <c r="S15" s="356" t="s">
        <v>1981</v>
      </c>
      <c r="T15" s="356" t="s">
        <v>1982</v>
      </c>
      <c r="U15" s="357"/>
    </row>
    <row r="16" spans="1:21" x14ac:dyDescent="0.3">
      <c r="A16" s="1073" t="s">
        <v>1996</v>
      </c>
      <c r="B16" s="1074" t="s">
        <v>87</v>
      </c>
      <c r="C16" s="265">
        <v>0</v>
      </c>
      <c r="D16" s="265">
        <v>0.21</v>
      </c>
      <c r="E16" s="938">
        <v>0.68</v>
      </c>
      <c r="F16" s="329">
        <v>1050</v>
      </c>
      <c r="G16" s="333" t="s">
        <v>51</v>
      </c>
      <c r="H16" s="270"/>
      <c r="I16" s="270"/>
      <c r="J16" s="270"/>
      <c r="K16" s="270"/>
      <c r="L16" s="270"/>
      <c r="M16" s="270"/>
      <c r="N16" s="270"/>
      <c r="O16" s="270"/>
      <c r="P16" s="270"/>
      <c r="Q16" s="270"/>
      <c r="R16" s="1075" t="s">
        <v>1997</v>
      </c>
      <c r="S16" s="1075" t="s">
        <v>1981</v>
      </c>
      <c r="T16" s="1075" t="s">
        <v>1982</v>
      </c>
      <c r="U16" s="1071"/>
    </row>
    <row r="17" spans="1:21" ht="42.6" customHeight="1" thickBot="1" x14ac:dyDescent="0.35">
      <c r="A17" s="1060"/>
      <c r="B17" s="1063"/>
      <c r="C17" s="269">
        <v>0.21</v>
      </c>
      <c r="D17" s="269">
        <v>0.68</v>
      </c>
      <c r="E17" s="939"/>
      <c r="F17" s="330">
        <v>2730</v>
      </c>
      <c r="G17" s="271" t="s">
        <v>32</v>
      </c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1068"/>
      <c r="S17" s="1068"/>
      <c r="T17" s="1068"/>
      <c r="U17" s="1072"/>
    </row>
    <row r="18" spans="1:21" ht="54.6" customHeight="1" thickBot="1" x14ac:dyDescent="0.35">
      <c r="A18" s="353" t="s">
        <v>1998</v>
      </c>
      <c r="B18" s="354" t="s">
        <v>1999</v>
      </c>
      <c r="C18" s="263">
        <v>0</v>
      </c>
      <c r="D18" s="263">
        <v>0.21</v>
      </c>
      <c r="E18" s="263">
        <v>0.21</v>
      </c>
      <c r="F18" s="355">
        <v>1555</v>
      </c>
      <c r="G18" s="356" t="s">
        <v>32</v>
      </c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356" t="s">
        <v>2000</v>
      </c>
      <c r="S18" s="356" t="s">
        <v>1981</v>
      </c>
      <c r="T18" s="356" t="s">
        <v>1982</v>
      </c>
      <c r="U18" s="357"/>
    </row>
    <row r="19" spans="1:21" ht="36.6" thickBot="1" x14ac:dyDescent="0.35">
      <c r="A19" s="353" t="s">
        <v>2001</v>
      </c>
      <c r="B19" s="354" t="s">
        <v>1507</v>
      </c>
      <c r="C19" s="263">
        <v>0</v>
      </c>
      <c r="D19" s="263">
        <v>0.21</v>
      </c>
      <c r="E19" s="263">
        <v>0.20899999999999999</v>
      </c>
      <c r="F19" s="355">
        <v>1045</v>
      </c>
      <c r="G19" s="356" t="s">
        <v>32</v>
      </c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356" t="s">
        <v>2002</v>
      </c>
      <c r="S19" s="356" t="s">
        <v>1981</v>
      </c>
      <c r="T19" s="356" t="s">
        <v>1982</v>
      </c>
      <c r="U19" s="357" t="s">
        <v>2003</v>
      </c>
    </row>
    <row r="20" spans="1:21" ht="36.6" thickBot="1" x14ac:dyDescent="0.35">
      <c r="A20" s="353" t="s">
        <v>2004</v>
      </c>
      <c r="B20" s="354" t="s">
        <v>930</v>
      </c>
      <c r="C20" s="263">
        <v>0</v>
      </c>
      <c r="D20" s="263">
        <v>0.16</v>
      </c>
      <c r="E20" s="263">
        <v>0.16</v>
      </c>
      <c r="F20" s="355">
        <v>790</v>
      </c>
      <c r="G20" s="356" t="s">
        <v>32</v>
      </c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356" t="s">
        <v>2005</v>
      </c>
      <c r="S20" s="356" t="s">
        <v>1981</v>
      </c>
      <c r="T20" s="356" t="s">
        <v>1982</v>
      </c>
      <c r="U20" s="357"/>
    </row>
    <row r="21" spans="1:21" ht="36.6" thickBot="1" x14ac:dyDescent="0.35">
      <c r="A21" s="353" t="s">
        <v>2006</v>
      </c>
      <c r="B21" s="354" t="s">
        <v>247</v>
      </c>
      <c r="C21" s="263">
        <v>0</v>
      </c>
      <c r="D21" s="263">
        <v>0.18</v>
      </c>
      <c r="E21" s="263">
        <v>0.18</v>
      </c>
      <c r="F21" s="355">
        <v>810</v>
      </c>
      <c r="G21" s="356" t="s">
        <v>32</v>
      </c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356" t="s">
        <v>2007</v>
      </c>
      <c r="S21" s="356" t="s">
        <v>1981</v>
      </c>
      <c r="T21" s="356" t="s">
        <v>1982</v>
      </c>
      <c r="U21" s="357"/>
    </row>
    <row r="22" spans="1:21" ht="36.6" thickBot="1" x14ac:dyDescent="0.35">
      <c r="A22" s="353" t="s">
        <v>2008</v>
      </c>
      <c r="B22" s="354" t="s">
        <v>934</v>
      </c>
      <c r="C22" s="263">
        <v>0</v>
      </c>
      <c r="D22" s="263">
        <v>0.37</v>
      </c>
      <c r="E22" s="263">
        <v>0.371</v>
      </c>
      <c r="F22" s="355">
        <v>1855</v>
      </c>
      <c r="G22" s="356" t="s">
        <v>32</v>
      </c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356" t="s">
        <v>2009</v>
      </c>
      <c r="S22" s="356" t="s">
        <v>1981</v>
      </c>
      <c r="T22" s="356" t="s">
        <v>1982</v>
      </c>
      <c r="U22" s="357"/>
    </row>
    <row r="23" spans="1:21" ht="36.6" thickBot="1" x14ac:dyDescent="0.35">
      <c r="A23" s="353" t="s">
        <v>2010</v>
      </c>
      <c r="B23" s="354" t="s">
        <v>36</v>
      </c>
      <c r="C23" s="263">
        <v>0</v>
      </c>
      <c r="D23" s="263">
        <v>0.37</v>
      </c>
      <c r="E23" s="263">
        <v>0.37</v>
      </c>
      <c r="F23" s="355">
        <v>1325</v>
      </c>
      <c r="G23" s="356" t="s">
        <v>51</v>
      </c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356" t="s">
        <v>2011</v>
      </c>
      <c r="S23" s="356" t="s">
        <v>1981</v>
      </c>
      <c r="T23" s="356" t="s">
        <v>1982</v>
      </c>
      <c r="U23" s="357"/>
    </row>
    <row r="24" spans="1:21" ht="36" x14ac:dyDescent="0.3">
      <c r="A24" s="1073" t="s">
        <v>2012</v>
      </c>
      <c r="B24" s="1074" t="s">
        <v>2013</v>
      </c>
      <c r="C24" s="265">
        <v>0</v>
      </c>
      <c r="D24" s="265">
        <v>0.41799999999999998</v>
      </c>
      <c r="E24" s="938">
        <v>0.63</v>
      </c>
      <c r="F24" s="329">
        <f>D24*5500</f>
        <v>2299</v>
      </c>
      <c r="G24" s="333" t="s">
        <v>51</v>
      </c>
      <c r="H24" s="270"/>
      <c r="I24" s="270"/>
      <c r="J24" s="270"/>
      <c r="K24" s="270"/>
      <c r="L24" s="270"/>
      <c r="M24" s="270"/>
      <c r="N24" s="270"/>
      <c r="O24" s="270"/>
      <c r="P24" s="270"/>
      <c r="Q24" s="270"/>
      <c r="R24" s="333" t="s">
        <v>2014</v>
      </c>
      <c r="S24" s="1075" t="s">
        <v>1981</v>
      </c>
      <c r="T24" s="941" t="s">
        <v>1982</v>
      </c>
      <c r="U24" s="929"/>
    </row>
    <row r="25" spans="1:21" ht="15" thickBot="1" x14ac:dyDescent="0.35">
      <c r="A25" s="1060"/>
      <c r="B25" s="1063"/>
      <c r="C25" s="269">
        <v>0.42</v>
      </c>
      <c r="D25" s="269">
        <v>0.63</v>
      </c>
      <c r="E25" s="939"/>
      <c r="F25" s="330">
        <f>0.21*5000</f>
        <v>1050</v>
      </c>
      <c r="G25" s="332" t="s">
        <v>32</v>
      </c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>
        <v>70700070563</v>
      </c>
      <c r="S25" s="1068"/>
      <c r="T25" s="942"/>
      <c r="U25" s="930"/>
    </row>
    <row r="26" spans="1:21" x14ac:dyDescent="0.3">
      <c r="A26" s="1073" t="s">
        <v>2015</v>
      </c>
      <c r="B26" s="1074" t="s">
        <v>2016</v>
      </c>
      <c r="C26" s="265">
        <v>0</v>
      </c>
      <c r="D26" s="265">
        <v>0.32</v>
      </c>
      <c r="E26" s="938">
        <v>0.59</v>
      </c>
      <c r="F26" s="329">
        <v>1120</v>
      </c>
      <c r="G26" s="333" t="s">
        <v>51</v>
      </c>
      <c r="H26" s="270"/>
      <c r="I26" s="270"/>
      <c r="J26" s="270"/>
      <c r="K26" s="270"/>
      <c r="L26" s="270"/>
      <c r="M26" s="270"/>
      <c r="N26" s="270"/>
      <c r="O26" s="270"/>
      <c r="P26" s="270"/>
      <c r="Q26" s="270"/>
      <c r="R26" s="1075" t="s">
        <v>2017</v>
      </c>
      <c r="S26" s="1075" t="s">
        <v>1981</v>
      </c>
      <c r="T26" s="941" t="s">
        <v>1982</v>
      </c>
      <c r="U26" s="929"/>
    </row>
    <row r="27" spans="1:21" x14ac:dyDescent="0.3">
      <c r="A27" s="1059"/>
      <c r="B27" s="1062"/>
      <c r="C27" s="267">
        <v>0.32</v>
      </c>
      <c r="D27" s="267">
        <v>0.56999999999999995</v>
      </c>
      <c r="E27" s="940"/>
      <c r="F27" s="1053">
        <v>1400</v>
      </c>
      <c r="G27" s="1067" t="s">
        <v>32</v>
      </c>
      <c r="H27" s="944"/>
      <c r="I27" s="944"/>
      <c r="J27" s="944"/>
      <c r="K27" s="944"/>
      <c r="L27" s="944"/>
      <c r="M27" s="944"/>
      <c r="N27" s="944"/>
      <c r="O27" s="944"/>
      <c r="P27" s="944"/>
      <c r="Q27" s="944"/>
      <c r="R27" s="1067"/>
      <c r="S27" s="1067"/>
      <c r="T27" s="944"/>
      <c r="U27" s="937"/>
    </row>
    <row r="28" spans="1:21" ht="24.6" thickBot="1" x14ac:dyDescent="0.35">
      <c r="A28" s="1060"/>
      <c r="B28" s="1063"/>
      <c r="C28" s="269">
        <v>0.56999999999999995</v>
      </c>
      <c r="D28" s="269">
        <v>0.59</v>
      </c>
      <c r="E28" s="939"/>
      <c r="F28" s="1054"/>
      <c r="G28" s="1068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332" t="s">
        <v>2018</v>
      </c>
      <c r="S28" s="1068"/>
      <c r="T28" s="942"/>
      <c r="U28" s="930"/>
    </row>
    <row r="29" spans="1:21" x14ac:dyDescent="0.3">
      <c r="A29" s="1073" t="s">
        <v>2019</v>
      </c>
      <c r="B29" s="1074" t="s">
        <v>2020</v>
      </c>
      <c r="C29" s="265">
        <v>0</v>
      </c>
      <c r="D29" s="270">
        <v>3.13</v>
      </c>
      <c r="E29" s="938">
        <v>3.35</v>
      </c>
      <c r="F29" s="1052">
        <f>E29*4500</f>
        <v>15075</v>
      </c>
      <c r="G29" s="1075" t="s">
        <v>32</v>
      </c>
      <c r="H29" s="272"/>
      <c r="I29" s="270"/>
      <c r="J29" s="270"/>
      <c r="K29" s="270"/>
      <c r="L29" s="270"/>
      <c r="M29" s="270"/>
      <c r="N29" s="270"/>
      <c r="O29" s="270"/>
      <c r="P29" s="270"/>
      <c r="Q29" s="270"/>
      <c r="R29" s="333" t="s">
        <v>2021</v>
      </c>
      <c r="S29" s="1075"/>
      <c r="T29" s="941" t="s">
        <v>1982</v>
      </c>
      <c r="U29" s="929"/>
    </row>
    <row r="30" spans="1:21" ht="35.25" customHeight="1" thickBot="1" x14ac:dyDescent="0.35">
      <c r="A30" s="1060"/>
      <c r="B30" s="1063"/>
      <c r="C30" s="271">
        <v>3.13</v>
      </c>
      <c r="D30" s="269">
        <v>3.35</v>
      </c>
      <c r="E30" s="939"/>
      <c r="F30" s="1054"/>
      <c r="G30" s="1068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332" t="s">
        <v>2022</v>
      </c>
      <c r="S30" s="1068"/>
      <c r="T30" s="942"/>
      <c r="U30" s="930"/>
    </row>
    <row r="31" spans="1:21" ht="24" x14ac:dyDescent="0.3">
      <c r="A31" s="1073" t="s">
        <v>2023</v>
      </c>
      <c r="B31" s="1074" t="s">
        <v>2024</v>
      </c>
      <c r="C31" s="265">
        <v>0</v>
      </c>
      <c r="D31" s="265">
        <v>0.47</v>
      </c>
      <c r="E31" s="938">
        <v>1.36</v>
      </c>
      <c r="F31" s="1052">
        <f>E31*4500</f>
        <v>6120</v>
      </c>
      <c r="G31" s="1075" t="s">
        <v>32</v>
      </c>
      <c r="H31" s="270"/>
      <c r="I31" s="270"/>
      <c r="J31" s="270"/>
      <c r="K31" s="270"/>
      <c r="L31" s="270"/>
      <c r="M31" s="270"/>
      <c r="N31" s="270"/>
      <c r="O31" s="270"/>
      <c r="P31" s="270"/>
      <c r="Q31" s="270"/>
      <c r="R31" s="333" t="s">
        <v>2025</v>
      </c>
      <c r="S31" s="1075"/>
      <c r="T31" s="941" t="s">
        <v>1982</v>
      </c>
      <c r="U31" s="929" t="s">
        <v>67</v>
      </c>
    </row>
    <row r="32" spans="1:21" ht="34.200000000000003" customHeight="1" thickBot="1" x14ac:dyDescent="0.35">
      <c r="A32" s="1060"/>
      <c r="B32" s="1063"/>
      <c r="C32" s="269">
        <v>0.47</v>
      </c>
      <c r="D32" s="271">
        <v>1.36</v>
      </c>
      <c r="E32" s="939"/>
      <c r="F32" s="1054"/>
      <c r="G32" s="1068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332" t="s">
        <v>2026</v>
      </c>
      <c r="S32" s="1068"/>
      <c r="T32" s="942"/>
      <c r="U32" s="930"/>
    </row>
    <row r="33" spans="1:22" x14ac:dyDescent="0.3">
      <c r="A33" s="1073" t="s">
        <v>2027</v>
      </c>
      <c r="B33" s="1074" t="s">
        <v>2028</v>
      </c>
      <c r="C33" s="265">
        <v>0</v>
      </c>
      <c r="D33" s="265">
        <v>0.1</v>
      </c>
      <c r="E33" s="938">
        <v>10.23</v>
      </c>
      <c r="F33" s="1052">
        <v>46035</v>
      </c>
      <c r="G33" s="1075" t="s">
        <v>32</v>
      </c>
      <c r="H33" s="941"/>
      <c r="I33" s="941"/>
      <c r="J33" s="941"/>
      <c r="K33" s="941"/>
      <c r="L33" s="941"/>
      <c r="M33" s="941"/>
      <c r="N33" s="941"/>
      <c r="O33" s="941"/>
      <c r="P33" s="941"/>
      <c r="Q33" s="941"/>
      <c r="R33" s="333" t="s">
        <v>2029</v>
      </c>
      <c r="S33" s="1075"/>
      <c r="T33" s="941" t="s">
        <v>1982</v>
      </c>
      <c r="U33" s="929"/>
    </row>
    <row r="34" spans="1:22" x14ac:dyDescent="0.3">
      <c r="A34" s="1059"/>
      <c r="B34" s="1062"/>
      <c r="C34" s="267">
        <v>0.1</v>
      </c>
      <c r="D34" s="267">
        <v>1.42</v>
      </c>
      <c r="E34" s="940"/>
      <c r="F34" s="1053"/>
      <c r="G34" s="1067"/>
      <c r="H34" s="944"/>
      <c r="I34" s="944"/>
      <c r="J34" s="944"/>
      <c r="K34" s="944"/>
      <c r="L34" s="944"/>
      <c r="M34" s="944"/>
      <c r="N34" s="944"/>
      <c r="O34" s="944"/>
      <c r="P34" s="944"/>
      <c r="Q34" s="944"/>
      <c r="R34" s="331" t="s">
        <v>2030</v>
      </c>
      <c r="S34" s="1067"/>
      <c r="T34" s="944"/>
      <c r="U34" s="937"/>
    </row>
    <row r="35" spans="1:22" x14ac:dyDescent="0.3">
      <c r="A35" s="1059"/>
      <c r="B35" s="1062"/>
      <c r="C35" s="940">
        <v>1.42</v>
      </c>
      <c r="D35" s="940">
        <v>6.47</v>
      </c>
      <c r="E35" s="940"/>
      <c r="F35" s="1053"/>
      <c r="G35" s="1067"/>
      <c r="H35" s="944"/>
      <c r="I35" s="944"/>
      <c r="J35" s="944"/>
      <c r="K35" s="944"/>
      <c r="L35" s="944"/>
      <c r="M35" s="944"/>
      <c r="N35" s="944"/>
      <c r="O35" s="944"/>
      <c r="P35" s="944"/>
      <c r="Q35" s="944"/>
      <c r="R35" s="1067" t="s">
        <v>2031</v>
      </c>
      <c r="S35" s="1067"/>
      <c r="T35" s="944"/>
      <c r="U35" s="937"/>
    </row>
    <row r="36" spans="1:22" ht="10.5" hidden="1" customHeight="1" x14ac:dyDescent="0.3">
      <c r="A36" s="1059"/>
      <c r="B36" s="1062"/>
      <c r="C36" s="940"/>
      <c r="D36" s="940"/>
      <c r="E36" s="940"/>
      <c r="F36" s="1053"/>
      <c r="G36" s="1067"/>
      <c r="H36" s="944"/>
      <c r="I36" s="944"/>
      <c r="J36" s="944"/>
      <c r="K36" s="944"/>
      <c r="L36" s="944"/>
      <c r="M36" s="944"/>
      <c r="N36" s="944"/>
      <c r="O36" s="944"/>
      <c r="P36" s="944"/>
      <c r="Q36" s="944"/>
      <c r="R36" s="1067"/>
      <c r="S36" s="1067"/>
      <c r="T36" s="944"/>
      <c r="U36" s="937"/>
    </row>
    <row r="37" spans="1:22" hidden="1" x14ac:dyDescent="0.3">
      <c r="A37" s="1059"/>
      <c r="B37" s="1062"/>
      <c r="C37" s="940"/>
      <c r="D37" s="940"/>
      <c r="E37" s="940"/>
      <c r="F37" s="1053"/>
      <c r="G37" s="1067"/>
      <c r="H37" s="944"/>
      <c r="I37" s="944"/>
      <c r="J37" s="944"/>
      <c r="K37" s="944"/>
      <c r="L37" s="944"/>
      <c r="M37" s="944"/>
      <c r="N37" s="944"/>
      <c r="O37" s="944"/>
      <c r="P37" s="944"/>
      <c r="Q37" s="944"/>
      <c r="R37" s="1067"/>
      <c r="S37" s="1067"/>
      <c r="T37" s="944"/>
      <c r="U37" s="937"/>
    </row>
    <row r="38" spans="1:22" ht="15" thickBot="1" x14ac:dyDescent="0.35">
      <c r="A38" s="1060"/>
      <c r="B38" s="1063"/>
      <c r="C38" s="269">
        <v>6.47</v>
      </c>
      <c r="D38" s="269">
        <v>10.23</v>
      </c>
      <c r="E38" s="939"/>
      <c r="F38" s="1054"/>
      <c r="G38" s="1068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332" t="s">
        <v>2032</v>
      </c>
      <c r="S38" s="1068"/>
      <c r="T38" s="942"/>
      <c r="U38" s="930"/>
    </row>
    <row r="39" spans="1:22" x14ac:dyDescent="0.3">
      <c r="A39" s="1073" t="s">
        <v>2033</v>
      </c>
      <c r="B39" s="1074" t="s">
        <v>2034</v>
      </c>
      <c r="C39" s="265">
        <v>0</v>
      </c>
      <c r="D39" s="265">
        <v>0.65</v>
      </c>
      <c r="E39" s="938">
        <v>2.64</v>
      </c>
      <c r="F39" s="329">
        <f>D39*6000</f>
        <v>3900</v>
      </c>
      <c r="G39" s="333" t="s">
        <v>51</v>
      </c>
      <c r="H39" s="270"/>
      <c r="I39" s="270"/>
      <c r="J39" s="270"/>
      <c r="K39" s="270"/>
      <c r="L39" s="270"/>
      <c r="M39" s="270"/>
      <c r="N39" s="270"/>
      <c r="O39" s="270"/>
      <c r="P39" s="270"/>
      <c r="Q39" s="270"/>
      <c r="R39" s="333" t="s">
        <v>2035</v>
      </c>
      <c r="S39" s="1075"/>
      <c r="T39" s="941" t="s">
        <v>1982</v>
      </c>
      <c r="U39" s="929"/>
    </row>
    <row r="40" spans="1:22" x14ac:dyDescent="0.3">
      <c r="A40" s="1059"/>
      <c r="B40" s="1062"/>
      <c r="C40" s="267">
        <v>0.65</v>
      </c>
      <c r="D40" s="267">
        <v>0.89</v>
      </c>
      <c r="E40" s="940"/>
      <c r="F40" s="1053">
        <v>10945</v>
      </c>
      <c r="G40" s="1067" t="s">
        <v>32</v>
      </c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331" t="s">
        <v>2035</v>
      </c>
      <c r="S40" s="1067"/>
      <c r="T40" s="944"/>
      <c r="U40" s="937"/>
    </row>
    <row r="41" spans="1:22" ht="24.6" thickBot="1" x14ac:dyDescent="0.35">
      <c r="A41" s="1060"/>
      <c r="B41" s="1063"/>
      <c r="C41" s="269">
        <v>0.89</v>
      </c>
      <c r="D41" s="269">
        <v>2.64</v>
      </c>
      <c r="E41" s="939"/>
      <c r="F41" s="1054"/>
      <c r="G41" s="1068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332" t="s">
        <v>2036</v>
      </c>
      <c r="S41" s="1068"/>
      <c r="T41" s="942"/>
      <c r="U41" s="930"/>
    </row>
    <row r="42" spans="1:22" ht="24" x14ac:dyDescent="0.3">
      <c r="A42" s="1073" t="s">
        <v>2037</v>
      </c>
      <c r="B42" s="1074" t="s">
        <v>2038</v>
      </c>
      <c r="C42" s="265">
        <v>0</v>
      </c>
      <c r="D42" s="265">
        <v>0.64</v>
      </c>
      <c r="E42" s="938">
        <v>1.1200000000000001</v>
      </c>
      <c r="F42" s="1052">
        <f>E42*5000</f>
        <v>5600.0000000000009</v>
      </c>
      <c r="G42" s="1075" t="s">
        <v>32</v>
      </c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333" t="s">
        <v>2039</v>
      </c>
      <c r="S42" s="1075"/>
      <c r="T42" s="941" t="s">
        <v>1982</v>
      </c>
      <c r="U42" s="929" t="s">
        <v>67</v>
      </c>
      <c r="V42" s="358"/>
    </row>
    <row r="43" spans="1:22" x14ac:dyDescent="0.3">
      <c r="A43" s="1059"/>
      <c r="B43" s="1062"/>
      <c r="C43" s="267">
        <v>0.64</v>
      </c>
      <c r="D43" s="267">
        <v>0.74</v>
      </c>
      <c r="E43" s="940"/>
      <c r="F43" s="1053"/>
      <c r="G43" s="1067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331" t="s">
        <v>2040</v>
      </c>
      <c r="S43" s="1067"/>
      <c r="T43" s="944"/>
      <c r="U43" s="937"/>
      <c r="V43" s="358"/>
    </row>
    <row r="44" spans="1:22" ht="15" thickBot="1" x14ac:dyDescent="0.35">
      <c r="A44" s="1060"/>
      <c r="B44" s="1063"/>
      <c r="C44" s="269">
        <v>0.74</v>
      </c>
      <c r="D44" s="269">
        <v>1.1200000000000001</v>
      </c>
      <c r="E44" s="939"/>
      <c r="F44" s="1054"/>
      <c r="G44" s="1068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332" t="s">
        <v>2041</v>
      </c>
      <c r="S44" s="1068"/>
      <c r="T44" s="942"/>
      <c r="U44" s="930"/>
      <c r="V44" s="358"/>
    </row>
    <row r="45" spans="1:22" x14ac:dyDescent="0.3">
      <c r="A45" s="1073" t="s">
        <v>2042</v>
      </c>
      <c r="B45" s="1074" t="s">
        <v>2043</v>
      </c>
      <c r="C45" s="265">
        <v>0</v>
      </c>
      <c r="D45" s="265">
        <v>1.3240000000000001</v>
      </c>
      <c r="E45" s="938">
        <v>2.38</v>
      </c>
      <c r="F45" s="1052">
        <v>12890</v>
      </c>
      <c r="G45" s="1075" t="s">
        <v>32</v>
      </c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333" t="s">
        <v>2044</v>
      </c>
      <c r="S45" s="1075"/>
      <c r="T45" s="941" t="s">
        <v>1982</v>
      </c>
      <c r="U45" s="929" t="s">
        <v>67</v>
      </c>
    </row>
    <row r="46" spans="1:22" ht="40.5" customHeight="1" thickBot="1" x14ac:dyDescent="0.35">
      <c r="A46" s="1060"/>
      <c r="B46" s="1063"/>
      <c r="C46" s="269">
        <v>1.32</v>
      </c>
      <c r="D46" s="269">
        <v>2.38</v>
      </c>
      <c r="E46" s="939"/>
      <c r="F46" s="1054"/>
      <c r="G46" s="1068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332" t="s">
        <v>2045</v>
      </c>
      <c r="S46" s="1068"/>
      <c r="T46" s="942"/>
      <c r="U46" s="930"/>
    </row>
    <row r="47" spans="1:22" ht="28.2" customHeight="1" x14ac:dyDescent="0.3">
      <c r="A47" s="1073" t="s">
        <v>2046</v>
      </c>
      <c r="B47" s="1074" t="s">
        <v>2047</v>
      </c>
      <c r="C47" s="265">
        <v>0</v>
      </c>
      <c r="D47" s="265">
        <v>0.93</v>
      </c>
      <c r="E47" s="938">
        <v>6.43</v>
      </c>
      <c r="F47" s="1052">
        <v>32150</v>
      </c>
      <c r="G47" s="1075" t="s">
        <v>32</v>
      </c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333" t="s">
        <v>2048</v>
      </c>
      <c r="S47" s="1075"/>
      <c r="T47" s="941" t="s">
        <v>1982</v>
      </c>
      <c r="U47" s="929"/>
    </row>
    <row r="48" spans="1:22" x14ac:dyDescent="0.3">
      <c r="A48" s="1059"/>
      <c r="B48" s="1062"/>
      <c r="C48" s="267" t="s">
        <v>2049</v>
      </c>
      <c r="D48" s="267">
        <v>2.99</v>
      </c>
      <c r="E48" s="940"/>
      <c r="F48" s="1053"/>
      <c r="G48" s="1067"/>
      <c r="H48" s="273"/>
      <c r="I48" s="273"/>
      <c r="J48" s="273"/>
      <c r="K48" s="273"/>
      <c r="L48" s="273"/>
      <c r="M48" s="273"/>
      <c r="N48" s="273"/>
      <c r="O48" s="273"/>
      <c r="P48" s="273"/>
      <c r="Q48" s="273"/>
      <c r="R48" s="273">
        <v>70700110077</v>
      </c>
      <c r="S48" s="1067"/>
      <c r="T48" s="944"/>
      <c r="U48" s="937"/>
    </row>
    <row r="49" spans="1:21" ht="24.6" thickBot="1" x14ac:dyDescent="0.35">
      <c r="A49" s="1060"/>
      <c r="B49" s="1063"/>
      <c r="C49" s="269">
        <v>2.99</v>
      </c>
      <c r="D49" s="269">
        <v>6.43</v>
      </c>
      <c r="E49" s="939"/>
      <c r="F49" s="1054"/>
      <c r="G49" s="1068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332" t="s">
        <v>2050</v>
      </c>
      <c r="S49" s="1068"/>
      <c r="T49" s="942"/>
      <c r="U49" s="930"/>
    </row>
    <row r="50" spans="1:21" ht="36.6" thickBot="1" x14ac:dyDescent="0.35">
      <c r="A50" s="353" t="s">
        <v>2051</v>
      </c>
      <c r="B50" s="354" t="s">
        <v>2052</v>
      </c>
      <c r="C50" s="263">
        <v>0</v>
      </c>
      <c r="D50" s="263">
        <v>2.4900000000000002</v>
      </c>
      <c r="E50" s="263">
        <v>2.4900000000000002</v>
      </c>
      <c r="F50" s="355">
        <v>14880</v>
      </c>
      <c r="G50" s="356" t="s">
        <v>32</v>
      </c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356" t="s">
        <v>2053</v>
      </c>
      <c r="S50" s="356"/>
      <c r="T50" s="65" t="s">
        <v>1982</v>
      </c>
      <c r="U50" s="258"/>
    </row>
    <row r="51" spans="1:21" x14ac:dyDescent="0.3">
      <c r="A51" s="1073" t="s">
        <v>2054</v>
      </c>
      <c r="B51" s="1074" t="s">
        <v>2055</v>
      </c>
      <c r="C51" s="265">
        <v>0</v>
      </c>
      <c r="D51" s="265">
        <v>8.4000000000000005E-2</v>
      </c>
      <c r="E51" s="938">
        <f>D56</f>
        <v>3.1510000000000002</v>
      </c>
      <c r="F51" s="1052">
        <f>E51*5000</f>
        <v>15755.000000000002</v>
      </c>
      <c r="G51" s="1075" t="s">
        <v>32</v>
      </c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333" t="s">
        <v>2056</v>
      </c>
      <c r="S51" s="1075"/>
      <c r="T51" s="941" t="s">
        <v>1982</v>
      </c>
      <c r="U51" s="929" t="s">
        <v>67</v>
      </c>
    </row>
    <row r="52" spans="1:21" ht="24" x14ac:dyDescent="0.3">
      <c r="A52" s="1059"/>
      <c r="B52" s="1062"/>
      <c r="C52" s="267">
        <f>D51</f>
        <v>8.4000000000000005E-2</v>
      </c>
      <c r="D52" s="267">
        <f>C52+0.046</f>
        <v>0.13</v>
      </c>
      <c r="E52" s="940"/>
      <c r="F52" s="1053"/>
      <c r="G52" s="1067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331" t="s">
        <v>2057</v>
      </c>
      <c r="S52" s="1067"/>
      <c r="T52" s="944"/>
      <c r="U52" s="937"/>
    </row>
    <row r="53" spans="1:21" x14ac:dyDescent="0.3">
      <c r="A53" s="1059"/>
      <c r="B53" s="1062"/>
      <c r="C53" s="267">
        <f>D52</f>
        <v>0.13</v>
      </c>
      <c r="D53" s="267">
        <v>1.7</v>
      </c>
      <c r="E53" s="940"/>
      <c r="F53" s="1053"/>
      <c r="G53" s="1067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>
        <v>70700080115</v>
      </c>
      <c r="S53" s="1067"/>
      <c r="T53" s="944"/>
      <c r="U53" s="937"/>
    </row>
    <row r="54" spans="1:21" ht="24" x14ac:dyDescent="0.3">
      <c r="A54" s="1059"/>
      <c r="B54" s="1062"/>
      <c r="C54" s="267">
        <f>D53</f>
        <v>1.7</v>
      </c>
      <c r="D54" s="267">
        <v>2.23</v>
      </c>
      <c r="E54" s="940"/>
      <c r="F54" s="1053"/>
      <c r="G54" s="1067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331" t="s">
        <v>2058</v>
      </c>
      <c r="S54" s="1067"/>
      <c r="T54" s="944"/>
      <c r="U54" s="937"/>
    </row>
    <row r="55" spans="1:21" ht="36" x14ac:dyDescent="0.3">
      <c r="A55" s="1059"/>
      <c r="B55" s="1062"/>
      <c r="C55" s="267">
        <v>2.23</v>
      </c>
      <c r="D55" s="267">
        <v>2.64</v>
      </c>
      <c r="E55" s="940"/>
      <c r="F55" s="1053"/>
      <c r="G55" s="1067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331" t="s">
        <v>2059</v>
      </c>
      <c r="S55" s="1067"/>
      <c r="T55" s="944"/>
      <c r="U55" s="937"/>
    </row>
    <row r="56" spans="1:21" ht="15" thickBot="1" x14ac:dyDescent="0.35">
      <c r="A56" s="1060"/>
      <c r="B56" s="1063"/>
      <c r="C56" s="269">
        <v>2.64</v>
      </c>
      <c r="D56" s="269">
        <f>C56+0.511</f>
        <v>3.1510000000000002</v>
      </c>
      <c r="E56" s="939"/>
      <c r="F56" s="1054"/>
      <c r="G56" s="1068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332" t="s">
        <v>2060</v>
      </c>
      <c r="S56" s="1068"/>
      <c r="T56" s="942"/>
      <c r="U56" s="930"/>
    </row>
    <row r="57" spans="1:21" ht="36.6" thickBot="1" x14ac:dyDescent="0.35">
      <c r="A57" s="353" t="s">
        <v>2061</v>
      </c>
      <c r="B57" s="354" t="s">
        <v>2062</v>
      </c>
      <c r="C57" s="263">
        <v>0</v>
      </c>
      <c r="D57" s="263">
        <v>0.89</v>
      </c>
      <c r="E57" s="263">
        <v>0.89</v>
      </c>
      <c r="F57" s="355">
        <v>4450</v>
      </c>
      <c r="G57" s="356" t="s">
        <v>32</v>
      </c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356" t="s">
        <v>2063</v>
      </c>
      <c r="S57" s="356"/>
      <c r="T57" s="65" t="s">
        <v>1982</v>
      </c>
      <c r="U57" s="258"/>
    </row>
    <row r="58" spans="1:21" x14ac:dyDescent="0.3">
      <c r="A58" s="1073" t="s">
        <v>2064</v>
      </c>
      <c r="B58" s="1074" t="s">
        <v>2065</v>
      </c>
      <c r="C58" s="265">
        <v>0</v>
      </c>
      <c r="D58" s="265">
        <v>0.28999999999999998</v>
      </c>
      <c r="E58" s="938">
        <v>1.0900000000000001</v>
      </c>
      <c r="F58" s="941">
        <v>5475</v>
      </c>
      <c r="G58" s="1075" t="s">
        <v>32</v>
      </c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333" t="s">
        <v>2066</v>
      </c>
      <c r="S58" s="1075"/>
      <c r="T58" s="941" t="s">
        <v>1982</v>
      </c>
      <c r="U58" s="929"/>
    </row>
    <row r="59" spans="1:21" ht="24" x14ac:dyDescent="0.3">
      <c r="A59" s="1059"/>
      <c r="B59" s="1062"/>
      <c r="C59" s="267" t="s">
        <v>2067</v>
      </c>
      <c r="D59" s="267">
        <v>0.46</v>
      </c>
      <c r="E59" s="940"/>
      <c r="F59" s="1067"/>
      <c r="G59" s="1067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331" t="s">
        <v>2068</v>
      </c>
      <c r="S59" s="1067"/>
      <c r="T59" s="944"/>
      <c r="U59" s="937"/>
    </row>
    <row r="60" spans="1:21" x14ac:dyDescent="0.3">
      <c r="A60" s="1059"/>
      <c r="B60" s="1062"/>
      <c r="C60" s="267">
        <v>0.46</v>
      </c>
      <c r="D60" s="267">
        <v>0.67</v>
      </c>
      <c r="E60" s="940"/>
      <c r="F60" s="1067"/>
      <c r="G60" s="1067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>
        <v>70700110097</v>
      </c>
      <c r="S60" s="1067"/>
      <c r="T60" s="944"/>
      <c r="U60" s="937"/>
    </row>
    <row r="61" spans="1:21" x14ac:dyDescent="0.3">
      <c r="A61" s="1059"/>
      <c r="B61" s="1062"/>
      <c r="C61" s="267">
        <v>0.67</v>
      </c>
      <c r="D61" s="267">
        <v>0.95</v>
      </c>
      <c r="E61" s="940"/>
      <c r="F61" s="1067"/>
      <c r="G61" s="1067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331" t="s">
        <v>2069</v>
      </c>
      <c r="S61" s="1067"/>
      <c r="T61" s="944"/>
      <c r="U61" s="937"/>
    </row>
    <row r="62" spans="1:21" ht="24" x14ac:dyDescent="0.3">
      <c r="A62" s="1059"/>
      <c r="B62" s="1062"/>
      <c r="C62" s="267">
        <v>0.95</v>
      </c>
      <c r="D62" s="267">
        <v>1.05</v>
      </c>
      <c r="E62" s="940"/>
      <c r="F62" s="1067"/>
      <c r="G62" s="1067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331" t="s">
        <v>2070</v>
      </c>
      <c r="S62" s="1067"/>
      <c r="T62" s="944"/>
      <c r="U62" s="937"/>
    </row>
    <row r="63" spans="1:21" ht="15" thickBot="1" x14ac:dyDescent="0.35">
      <c r="A63" s="1060"/>
      <c r="B63" s="1063"/>
      <c r="C63" s="269">
        <v>1.05</v>
      </c>
      <c r="D63" s="269">
        <v>1.0900000000000001</v>
      </c>
      <c r="E63" s="939"/>
      <c r="F63" s="1068"/>
      <c r="G63" s="1068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332" t="s">
        <v>2071</v>
      </c>
      <c r="S63" s="1068"/>
      <c r="T63" s="942"/>
      <c r="U63" s="930"/>
    </row>
    <row r="64" spans="1:21" x14ac:dyDescent="0.3">
      <c r="A64" s="1073" t="s">
        <v>2072</v>
      </c>
      <c r="B64" s="1074" t="s">
        <v>2073</v>
      </c>
      <c r="C64" s="265">
        <v>0</v>
      </c>
      <c r="D64" s="265">
        <v>0.14000000000000001</v>
      </c>
      <c r="E64" s="938">
        <v>0.5</v>
      </c>
      <c r="F64" s="1052">
        <f>E64*5000</f>
        <v>2500</v>
      </c>
      <c r="G64" s="1075" t="s">
        <v>32</v>
      </c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333" t="s">
        <v>2074</v>
      </c>
      <c r="S64" s="1075"/>
      <c r="T64" s="941" t="s">
        <v>1982</v>
      </c>
      <c r="U64" s="929" t="s">
        <v>67</v>
      </c>
    </row>
    <row r="65" spans="1:21" ht="24" x14ac:dyDescent="0.3">
      <c r="A65" s="1059"/>
      <c r="B65" s="1062"/>
      <c r="C65" s="267">
        <v>0.14000000000000001</v>
      </c>
      <c r="D65" s="267">
        <v>0.26</v>
      </c>
      <c r="E65" s="940"/>
      <c r="F65" s="1053"/>
      <c r="G65" s="1067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331" t="s">
        <v>2075</v>
      </c>
      <c r="S65" s="1067"/>
      <c r="T65" s="944"/>
      <c r="U65" s="937"/>
    </row>
    <row r="66" spans="1:21" ht="24" x14ac:dyDescent="0.3">
      <c r="A66" s="1059"/>
      <c r="B66" s="1062"/>
      <c r="C66" s="267">
        <v>0.26</v>
      </c>
      <c r="D66" s="267">
        <v>0.4</v>
      </c>
      <c r="E66" s="940"/>
      <c r="F66" s="1053"/>
      <c r="G66" s="1067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331" t="s">
        <v>2076</v>
      </c>
      <c r="S66" s="1067"/>
      <c r="T66" s="944"/>
      <c r="U66" s="937"/>
    </row>
    <row r="67" spans="1:21" ht="46.5" customHeight="1" thickBot="1" x14ac:dyDescent="0.35">
      <c r="A67" s="1060"/>
      <c r="B67" s="1063"/>
      <c r="C67" s="269">
        <v>0.4</v>
      </c>
      <c r="D67" s="269">
        <v>0.5</v>
      </c>
      <c r="E67" s="939"/>
      <c r="F67" s="1054"/>
      <c r="G67" s="1068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 t="s">
        <v>2077</v>
      </c>
      <c r="S67" s="1068"/>
      <c r="T67" s="942"/>
      <c r="U67" s="930"/>
    </row>
    <row r="68" spans="1:21" x14ac:dyDescent="0.3">
      <c r="A68" s="1073" t="s">
        <v>2078</v>
      </c>
      <c r="B68" s="1074" t="s">
        <v>2079</v>
      </c>
      <c r="C68" s="265">
        <v>0</v>
      </c>
      <c r="D68" s="265">
        <v>0.25</v>
      </c>
      <c r="E68" s="938">
        <v>2.42</v>
      </c>
      <c r="F68" s="1052">
        <f>E68*5000</f>
        <v>12100</v>
      </c>
      <c r="G68" s="1075" t="s">
        <v>32</v>
      </c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333" t="s">
        <v>2080</v>
      </c>
      <c r="S68" s="1075"/>
      <c r="T68" s="941" t="s">
        <v>1982</v>
      </c>
      <c r="U68" s="929" t="s">
        <v>67</v>
      </c>
    </row>
    <row r="69" spans="1:21" ht="24" x14ac:dyDescent="0.3">
      <c r="A69" s="1059"/>
      <c r="B69" s="1062"/>
      <c r="C69" s="267">
        <v>0.25</v>
      </c>
      <c r="D69" s="267">
        <v>0.37</v>
      </c>
      <c r="E69" s="940"/>
      <c r="F69" s="1053"/>
      <c r="G69" s="1067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331" t="s">
        <v>2081</v>
      </c>
      <c r="S69" s="1067"/>
      <c r="T69" s="944"/>
      <c r="U69" s="937"/>
    </row>
    <row r="70" spans="1:21" x14ac:dyDescent="0.3">
      <c r="A70" s="1059"/>
      <c r="B70" s="1062"/>
      <c r="C70" s="267">
        <v>0.37</v>
      </c>
      <c r="D70" s="267">
        <v>0.57999999999999996</v>
      </c>
      <c r="E70" s="940"/>
      <c r="F70" s="1053"/>
      <c r="G70" s="1067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331" t="s">
        <v>2082</v>
      </c>
      <c r="S70" s="1067"/>
      <c r="T70" s="944"/>
      <c r="U70" s="937"/>
    </row>
    <row r="71" spans="1:21" ht="24" x14ac:dyDescent="0.3">
      <c r="A71" s="1059"/>
      <c r="B71" s="1062"/>
      <c r="C71" s="267">
        <v>0.57999999999999996</v>
      </c>
      <c r="D71" s="267">
        <v>0.64</v>
      </c>
      <c r="E71" s="940"/>
      <c r="F71" s="1053"/>
      <c r="G71" s="1067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331" t="s">
        <v>2083</v>
      </c>
      <c r="S71" s="1067"/>
      <c r="T71" s="944"/>
      <c r="U71" s="937"/>
    </row>
    <row r="72" spans="1:21" x14ac:dyDescent="0.3">
      <c r="A72" s="1059"/>
      <c r="B72" s="1062"/>
      <c r="C72" s="267">
        <v>0.64</v>
      </c>
      <c r="D72" s="267">
        <v>0.75</v>
      </c>
      <c r="E72" s="940"/>
      <c r="F72" s="1053"/>
      <c r="G72" s="1067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331" t="s">
        <v>2084</v>
      </c>
      <c r="S72" s="1067"/>
      <c r="T72" s="944"/>
      <c r="U72" s="937"/>
    </row>
    <row r="73" spans="1:21" x14ac:dyDescent="0.3">
      <c r="A73" s="1059"/>
      <c r="B73" s="1062"/>
      <c r="C73" s="267">
        <v>0.75</v>
      </c>
      <c r="D73" s="267">
        <v>1.1399999999999999</v>
      </c>
      <c r="E73" s="940"/>
      <c r="F73" s="1053"/>
      <c r="G73" s="1067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331" t="s">
        <v>2085</v>
      </c>
      <c r="S73" s="1067"/>
      <c r="T73" s="944"/>
      <c r="U73" s="937"/>
    </row>
    <row r="74" spans="1:21" ht="15" thickBot="1" x14ac:dyDescent="0.35">
      <c r="A74" s="1060"/>
      <c r="B74" s="1063"/>
      <c r="C74" s="269">
        <v>1.1399999999999999</v>
      </c>
      <c r="D74" s="269">
        <v>2.42</v>
      </c>
      <c r="E74" s="939"/>
      <c r="F74" s="1054"/>
      <c r="G74" s="1068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332" t="s">
        <v>2086</v>
      </c>
      <c r="S74" s="1068"/>
      <c r="T74" s="942"/>
      <c r="U74" s="930"/>
    </row>
    <row r="75" spans="1:21" ht="36.6" thickBot="1" x14ac:dyDescent="0.35">
      <c r="A75" s="353" t="s">
        <v>2087</v>
      </c>
      <c r="B75" s="354" t="s">
        <v>2088</v>
      </c>
      <c r="C75" s="263">
        <v>0</v>
      </c>
      <c r="D75" s="263">
        <v>3.27</v>
      </c>
      <c r="E75" s="263">
        <v>3.27</v>
      </c>
      <c r="F75" s="355">
        <f>E75*4500</f>
        <v>14715</v>
      </c>
      <c r="G75" s="356" t="s">
        <v>32</v>
      </c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356" t="s">
        <v>2089</v>
      </c>
      <c r="S75" s="356"/>
      <c r="T75" s="65" t="s">
        <v>1982</v>
      </c>
      <c r="U75" s="258"/>
    </row>
    <row r="76" spans="1:21" ht="33.75" customHeight="1" x14ac:dyDescent="0.3">
      <c r="A76" s="1073" t="s">
        <v>2090</v>
      </c>
      <c r="B76" s="1074" t="s">
        <v>2091</v>
      </c>
      <c r="C76" s="265">
        <v>0</v>
      </c>
      <c r="D76" s="265">
        <v>0.28000000000000003</v>
      </c>
      <c r="E76" s="938">
        <v>1.81</v>
      </c>
      <c r="F76" s="1052">
        <f>E76*4200</f>
        <v>7602</v>
      </c>
      <c r="G76" s="1075" t="s">
        <v>32</v>
      </c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333" t="s">
        <v>2092</v>
      </c>
      <c r="S76" s="1075"/>
      <c r="T76" s="941" t="s">
        <v>1982</v>
      </c>
      <c r="U76" s="929"/>
    </row>
    <row r="77" spans="1:21" x14ac:dyDescent="0.3">
      <c r="A77" s="1059"/>
      <c r="B77" s="1062"/>
      <c r="C77" s="267">
        <v>0.28000000000000003</v>
      </c>
      <c r="D77" s="267">
        <v>0.95</v>
      </c>
      <c r="E77" s="940"/>
      <c r="F77" s="1053"/>
      <c r="G77" s="1067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331" t="s">
        <v>2093</v>
      </c>
      <c r="S77" s="1067"/>
      <c r="T77" s="944"/>
      <c r="U77" s="937"/>
    </row>
    <row r="78" spans="1:21" x14ac:dyDescent="0.3">
      <c r="A78" s="1059"/>
      <c r="B78" s="1062"/>
      <c r="C78" s="267">
        <v>0.95</v>
      </c>
      <c r="D78" s="267">
        <v>1.21</v>
      </c>
      <c r="E78" s="940"/>
      <c r="F78" s="1053"/>
      <c r="G78" s="1067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331" t="s">
        <v>2094</v>
      </c>
      <c r="S78" s="1067"/>
      <c r="T78" s="944"/>
      <c r="U78" s="937"/>
    </row>
    <row r="79" spans="1:21" ht="15" thickBot="1" x14ac:dyDescent="0.35">
      <c r="A79" s="1060"/>
      <c r="B79" s="1063"/>
      <c r="C79" s="269">
        <v>1.21</v>
      </c>
      <c r="D79" s="269">
        <v>1.81</v>
      </c>
      <c r="E79" s="939"/>
      <c r="F79" s="1054"/>
      <c r="G79" s="1068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332" t="s">
        <v>2095</v>
      </c>
      <c r="S79" s="1068"/>
      <c r="T79" s="942"/>
      <c r="U79" s="930"/>
    </row>
    <row r="80" spans="1:21" ht="24" x14ac:dyDescent="0.3">
      <c r="A80" s="1073" t="s">
        <v>2096</v>
      </c>
      <c r="B80" s="1074" t="s">
        <v>2097</v>
      </c>
      <c r="C80" s="265">
        <v>0</v>
      </c>
      <c r="D80" s="265">
        <v>0.08</v>
      </c>
      <c r="E80" s="938">
        <v>0.59</v>
      </c>
      <c r="F80" s="1052">
        <f>E80*3900</f>
        <v>2301</v>
      </c>
      <c r="G80" s="1075" t="s">
        <v>32</v>
      </c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333" t="s">
        <v>2098</v>
      </c>
      <c r="S80" s="1075"/>
      <c r="T80" s="941" t="s">
        <v>1982</v>
      </c>
      <c r="U80" s="929"/>
    </row>
    <row r="81" spans="1:21" x14ac:dyDescent="0.3">
      <c r="A81" s="1059"/>
      <c r="B81" s="1062"/>
      <c r="C81" s="267">
        <v>0.08</v>
      </c>
      <c r="D81" s="267">
        <v>0.56000000000000005</v>
      </c>
      <c r="E81" s="940"/>
      <c r="F81" s="1053"/>
      <c r="G81" s="1067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331" t="s">
        <v>2099</v>
      </c>
      <c r="S81" s="1067"/>
      <c r="T81" s="944"/>
      <c r="U81" s="937"/>
    </row>
    <row r="82" spans="1:21" ht="28.2" customHeight="1" thickBot="1" x14ac:dyDescent="0.35">
      <c r="A82" s="1060"/>
      <c r="B82" s="1063"/>
      <c r="C82" s="269">
        <v>0.56000000000000005</v>
      </c>
      <c r="D82" s="269">
        <v>0.59</v>
      </c>
      <c r="E82" s="939"/>
      <c r="F82" s="1054"/>
      <c r="G82" s="1068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332" t="s">
        <v>2100</v>
      </c>
      <c r="S82" s="1068"/>
      <c r="T82" s="942"/>
      <c r="U82" s="930"/>
    </row>
    <row r="83" spans="1:21" ht="36.6" thickBot="1" x14ac:dyDescent="0.35">
      <c r="A83" s="353" t="s">
        <v>2101</v>
      </c>
      <c r="B83" s="354" t="s">
        <v>2102</v>
      </c>
      <c r="C83" s="263">
        <v>0</v>
      </c>
      <c r="D83" s="263">
        <v>2.2000000000000002</v>
      </c>
      <c r="E83" s="263">
        <v>2.2000000000000002</v>
      </c>
      <c r="F83" s="355">
        <f>E83*3900</f>
        <v>8580</v>
      </c>
      <c r="G83" s="356" t="s">
        <v>32</v>
      </c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356" t="s">
        <v>2103</v>
      </c>
      <c r="S83" s="356"/>
      <c r="T83" s="65" t="s">
        <v>1982</v>
      </c>
      <c r="U83" s="258"/>
    </row>
    <row r="84" spans="1:21" ht="36.6" thickBot="1" x14ac:dyDescent="0.35">
      <c r="A84" s="353" t="s">
        <v>2104</v>
      </c>
      <c r="B84" s="354" t="s">
        <v>2105</v>
      </c>
      <c r="C84" s="263">
        <v>0</v>
      </c>
      <c r="D84" s="263">
        <v>0.91</v>
      </c>
      <c r="E84" s="263">
        <v>0.91</v>
      </c>
      <c r="F84" s="355">
        <v>4080</v>
      </c>
      <c r="G84" s="356" t="s">
        <v>32</v>
      </c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356" t="s">
        <v>2106</v>
      </c>
      <c r="S84" s="356"/>
      <c r="T84" s="65" t="s">
        <v>1982</v>
      </c>
      <c r="U84" s="258"/>
    </row>
    <row r="85" spans="1:21" ht="52.95" customHeight="1" thickBot="1" x14ac:dyDescent="0.35">
      <c r="A85" s="353" t="s">
        <v>2107</v>
      </c>
      <c r="B85" s="354" t="s">
        <v>2108</v>
      </c>
      <c r="C85" s="263">
        <v>0</v>
      </c>
      <c r="D85" s="263">
        <v>0.46</v>
      </c>
      <c r="E85" s="263">
        <v>0.46</v>
      </c>
      <c r="F85" s="355">
        <v>1610</v>
      </c>
      <c r="G85" s="356" t="s">
        <v>32</v>
      </c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356" t="s">
        <v>2109</v>
      </c>
      <c r="S85" s="356"/>
      <c r="T85" s="65" t="s">
        <v>1982</v>
      </c>
      <c r="U85" s="258"/>
    </row>
    <row r="86" spans="1:21" ht="36.6" thickBot="1" x14ac:dyDescent="0.35">
      <c r="A86" s="353" t="s">
        <v>2110</v>
      </c>
      <c r="B86" s="354" t="s">
        <v>2111</v>
      </c>
      <c r="C86" s="263">
        <v>0</v>
      </c>
      <c r="D86" s="263">
        <v>0.92</v>
      </c>
      <c r="E86" s="263">
        <v>0.92</v>
      </c>
      <c r="F86" s="355">
        <v>5060</v>
      </c>
      <c r="G86" s="356" t="s">
        <v>32</v>
      </c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356" t="s">
        <v>2112</v>
      </c>
      <c r="S86" s="356"/>
      <c r="T86" s="65" t="s">
        <v>1982</v>
      </c>
      <c r="U86" s="258"/>
    </row>
    <row r="87" spans="1:21" ht="24" x14ac:dyDescent="0.3">
      <c r="A87" s="1073" t="s">
        <v>2113</v>
      </c>
      <c r="B87" s="1074" t="s">
        <v>2114</v>
      </c>
      <c r="C87" s="265">
        <v>0</v>
      </c>
      <c r="D87" s="265">
        <v>0.28000000000000003</v>
      </c>
      <c r="E87" s="938">
        <v>0.64</v>
      </c>
      <c r="F87" s="1052">
        <v>1540</v>
      </c>
      <c r="G87" s="1075" t="s">
        <v>32</v>
      </c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333" t="s">
        <v>2115</v>
      </c>
      <c r="S87" s="1075"/>
      <c r="T87" s="941" t="s">
        <v>1982</v>
      </c>
      <c r="U87" s="929"/>
    </row>
    <row r="88" spans="1:21" x14ac:dyDescent="0.3">
      <c r="A88" s="1059"/>
      <c r="B88" s="1062"/>
      <c r="C88" s="267">
        <v>0.28000000000000003</v>
      </c>
      <c r="D88" s="267">
        <v>0.44</v>
      </c>
      <c r="E88" s="940"/>
      <c r="F88" s="1053"/>
      <c r="G88" s="1067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331" t="s">
        <v>2116</v>
      </c>
      <c r="S88" s="1067"/>
      <c r="T88" s="944"/>
      <c r="U88" s="937"/>
    </row>
    <row r="89" spans="1:21" x14ac:dyDescent="0.3">
      <c r="A89" s="1059"/>
      <c r="B89" s="1062"/>
      <c r="C89" s="267">
        <v>0.44</v>
      </c>
      <c r="D89" s="267">
        <v>0.51</v>
      </c>
      <c r="E89" s="940"/>
      <c r="F89" s="1053"/>
      <c r="G89" s="1067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331" t="s">
        <v>2117</v>
      </c>
      <c r="S89" s="1067"/>
      <c r="T89" s="944"/>
      <c r="U89" s="937"/>
    </row>
    <row r="90" spans="1:21" ht="15" thickBot="1" x14ac:dyDescent="0.35">
      <c r="A90" s="1060"/>
      <c r="B90" s="1063"/>
      <c r="C90" s="269">
        <v>0.51</v>
      </c>
      <c r="D90" s="269">
        <v>0.64</v>
      </c>
      <c r="E90" s="939"/>
      <c r="F90" s="1054"/>
      <c r="G90" s="1068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332" t="s">
        <v>2118</v>
      </c>
      <c r="S90" s="1068"/>
      <c r="T90" s="942"/>
      <c r="U90" s="930"/>
    </row>
    <row r="91" spans="1:21" ht="36.6" thickBot="1" x14ac:dyDescent="0.35">
      <c r="A91" s="353" t="s">
        <v>2119</v>
      </c>
      <c r="B91" s="354" t="s">
        <v>2120</v>
      </c>
      <c r="C91" s="263">
        <v>0</v>
      </c>
      <c r="D91" s="263">
        <v>1.23</v>
      </c>
      <c r="E91" s="263">
        <v>1.23</v>
      </c>
      <c r="F91" s="355">
        <v>8360</v>
      </c>
      <c r="G91" s="356" t="s">
        <v>32</v>
      </c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356" t="s">
        <v>2121</v>
      </c>
      <c r="S91" s="356"/>
      <c r="T91" s="65" t="s">
        <v>1982</v>
      </c>
      <c r="U91" s="258"/>
    </row>
    <row r="92" spans="1:21" x14ac:dyDescent="0.3">
      <c r="A92" s="1073" t="s">
        <v>2122</v>
      </c>
      <c r="B92" s="1074" t="s">
        <v>2123</v>
      </c>
      <c r="C92" s="265">
        <v>0</v>
      </c>
      <c r="D92" s="265">
        <v>0.53</v>
      </c>
      <c r="E92" s="938">
        <v>0.82</v>
      </c>
      <c r="F92" s="1052">
        <v>3074</v>
      </c>
      <c r="G92" s="1075" t="s">
        <v>32</v>
      </c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333" t="s">
        <v>2124</v>
      </c>
      <c r="S92" s="1075"/>
      <c r="T92" s="941" t="s">
        <v>1982</v>
      </c>
      <c r="U92" s="929" t="s">
        <v>67</v>
      </c>
    </row>
    <row r="93" spans="1:21" ht="43.95" customHeight="1" thickBot="1" x14ac:dyDescent="0.35">
      <c r="A93" s="1060"/>
      <c r="B93" s="1063"/>
      <c r="C93" s="269">
        <v>0.53</v>
      </c>
      <c r="D93" s="269">
        <v>0.82</v>
      </c>
      <c r="E93" s="939"/>
      <c r="F93" s="1054"/>
      <c r="G93" s="1068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332" t="s">
        <v>2125</v>
      </c>
      <c r="S93" s="1068"/>
      <c r="T93" s="942"/>
      <c r="U93" s="930"/>
    </row>
    <row r="94" spans="1:21" ht="63.6" customHeight="1" thickBot="1" x14ac:dyDescent="0.35">
      <c r="A94" s="353" t="s">
        <v>2126</v>
      </c>
      <c r="B94" s="354" t="s">
        <v>2127</v>
      </c>
      <c r="C94" s="263">
        <v>0</v>
      </c>
      <c r="D94" s="263">
        <v>1.77</v>
      </c>
      <c r="E94" s="263">
        <v>1.77</v>
      </c>
      <c r="F94" s="65">
        <v>15700</v>
      </c>
      <c r="G94" s="356" t="s">
        <v>32</v>
      </c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356" t="s">
        <v>2125</v>
      </c>
      <c r="S94" s="356"/>
      <c r="T94" s="65" t="s">
        <v>2128</v>
      </c>
      <c r="U94" s="258" t="s">
        <v>67</v>
      </c>
    </row>
    <row r="95" spans="1:21" ht="24" x14ac:dyDescent="0.3">
      <c r="A95" s="1073" t="s">
        <v>2129</v>
      </c>
      <c r="B95" s="1074" t="s">
        <v>2130</v>
      </c>
      <c r="C95" s="265">
        <v>0</v>
      </c>
      <c r="D95" s="265">
        <v>0.34</v>
      </c>
      <c r="E95" s="938">
        <v>0.65</v>
      </c>
      <c r="F95" s="1052">
        <v>1802</v>
      </c>
      <c r="G95" s="1075" t="s">
        <v>32</v>
      </c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333" t="s">
        <v>2131</v>
      </c>
      <c r="S95" s="1075"/>
      <c r="T95" s="941" t="s">
        <v>1982</v>
      </c>
      <c r="U95" s="929"/>
    </row>
    <row r="96" spans="1:21" ht="24" x14ac:dyDescent="0.3">
      <c r="A96" s="1059"/>
      <c r="B96" s="1062"/>
      <c r="C96" s="267">
        <v>0.34</v>
      </c>
      <c r="D96" s="267">
        <v>0.49</v>
      </c>
      <c r="E96" s="940"/>
      <c r="F96" s="1053"/>
      <c r="G96" s="1067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331" t="s">
        <v>2132</v>
      </c>
      <c r="S96" s="1067"/>
      <c r="T96" s="944"/>
      <c r="U96" s="937"/>
    </row>
    <row r="97" spans="1:21" ht="24.6" thickBot="1" x14ac:dyDescent="0.35">
      <c r="A97" s="1060"/>
      <c r="B97" s="1063"/>
      <c r="C97" s="269">
        <v>0.49</v>
      </c>
      <c r="D97" s="269">
        <v>0.65</v>
      </c>
      <c r="E97" s="939"/>
      <c r="F97" s="1054"/>
      <c r="G97" s="1068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332" t="s">
        <v>2133</v>
      </c>
      <c r="S97" s="1068"/>
      <c r="T97" s="942"/>
      <c r="U97" s="930"/>
    </row>
    <row r="98" spans="1:21" ht="24" x14ac:dyDescent="0.3">
      <c r="A98" s="1073" t="s">
        <v>2134</v>
      </c>
      <c r="B98" s="1074" t="s">
        <v>2135</v>
      </c>
      <c r="C98" s="265">
        <v>0</v>
      </c>
      <c r="D98" s="265">
        <v>0.08</v>
      </c>
      <c r="E98" s="938">
        <v>0.49</v>
      </c>
      <c r="F98" s="1052">
        <f>E98*4700</f>
        <v>2303</v>
      </c>
      <c r="G98" s="1075" t="s">
        <v>32</v>
      </c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333" t="s">
        <v>2136</v>
      </c>
      <c r="S98" s="1075"/>
      <c r="T98" s="941" t="s">
        <v>1982</v>
      </c>
      <c r="U98" s="929"/>
    </row>
    <row r="99" spans="1:21" ht="24" x14ac:dyDescent="0.3">
      <c r="A99" s="1059"/>
      <c r="B99" s="1062"/>
      <c r="C99" s="267">
        <v>0.08</v>
      </c>
      <c r="D99" s="267">
        <v>0.19</v>
      </c>
      <c r="E99" s="940"/>
      <c r="F99" s="1053"/>
      <c r="G99" s="1067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331" t="s">
        <v>2137</v>
      </c>
      <c r="S99" s="1067"/>
      <c r="T99" s="944"/>
      <c r="U99" s="937"/>
    </row>
    <row r="100" spans="1:21" x14ac:dyDescent="0.3">
      <c r="A100" s="1059"/>
      <c r="B100" s="1062"/>
      <c r="C100" s="267">
        <v>0.19</v>
      </c>
      <c r="D100" s="267">
        <v>0.41</v>
      </c>
      <c r="E100" s="940"/>
      <c r="F100" s="1053"/>
      <c r="G100" s="1067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331" t="s">
        <v>2138</v>
      </c>
      <c r="S100" s="1067"/>
      <c r="T100" s="944"/>
      <c r="U100" s="937"/>
    </row>
    <row r="101" spans="1:21" ht="15" thickBot="1" x14ac:dyDescent="0.35">
      <c r="A101" s="1060"/>
      <c r="B101" s="1063"/>
      <c r="C101" s="269">
        <v>0.41</v>
      </c>
      <c r="D101" s="269">
        <v>0.49</v>
      </c>
      <c r="E101" s="939"/>
      <c r="F101" s="1054"/>
      <c r="G101" s="1068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332" t="s">
        <v>2139</v>
      </c>
      <c r="S101" s="1068"/>
      <c r="T101" s="942"/>
      <c r="U101" s="930"/>
    </row>
    <row r="102" spans="1:21" x14ac:dyDescent="0.3">
      <c r="A102" s="1073" t="s">
        <v>2140</v>
      </c>
      <c r="B102" s="1074" t="s">
        <v>2141</v>
      </c>
      <c r="C102" s="265">
        <v>0</v>
      </c>
      <c r="D102" s="265">
        <v>2.02</v>
      </c>
      <c r="E102" s="938">
        <v>2.4700000000000002</v>
      </c>
      <c r="F102" s="1052">
        <f>E102*4500</f>
        <v>11115</v>
      </c>
      <c r="G102" s="1075" t="s">
        <v>32</v>
      </c>
      <c r="H102" s="270"/>
      <c r="I102" s="270"/>
      <c r="J102" s="270"/>
      <c r="K102" s="270"/>
      <c r="L102" s="270"/>
      <c r="M102" s="270"/>
      <c r="N102" s="270"/>
      <c r="O102" s="270"/>
      <c r="P102" s="270"/>
      <c r="Q102" s="270"/>
      <c r="R102" s="333" t="s">
        <v>2142</v>
      </c>
      <c r="S102" s="1075"/>
      <c r="T102" s="941" t="s">
        <v>1982</v>
      </c>
      <c r="U102" s="929"/>
    </row>
    <row r="103" spans="1:21" ht="41.4" customHeight="1" thickBot="1" x14ac:dyDescent="0.35">
      <c r="A103" s="1060"/>
      <c r="B103" s="1063"/>
      <c r="C103" s="269">
        <v>2.02</v>
      </c>
      <c r="D103" s="269">
        <v>2.4700000000000002</v>
      </c>
      <c r="E103" s="939"/>
      <c r="F103" s="1054"/>
      <c r="G103" s="1068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332" t="s">
        <v>2143</v>
      </c>
      <c r="S103" s="1068"/>
      <c r="T103" s="942"/>
      <c r="U103" s="930"/>
    </row>
    <row r="104" spans="1:21" x14ac:dyDescent="0.3">
      <c r="A104" s="1073" t="s">
        <v>2144</v>
      </c>
      <c r="B104" s="1074" t="s">
        <v>2145</v>
      </c>
      <c r="C104" s="265">
        <v>0</v>
      </c>
      <c r="D104" s="265">
        <v>0.67</v>
      </c>
      <c r="E104" s="938">
        <v>1.43</v>
      </c>
      <c r="F104" s="1052">
        <f>E104*4700</f>
        <v>6721</v>
      </c>
      <c r="G104" s="1075" t="s">
        <v>32</v>
      </c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333" t="s">
        <v>2146</v>
      </c>
      <c r="S104" s="1075"/>
      <c r="T104" s="941" t="s">
        <v>1982</v>
      </c>
      <c r="U104" s="929"/>
    </row>
    <row r="105" spans="1:21" x14ac:dyDescent="0.3">
      <c r="A105" s="1059"/>
      <c r="B105" s="1062"/>
      <c r="C105" s="267">
        <v>0.67</v>
      </c>
      <c r="D105" s="267">
        <v>1.1100000000000001</v>
      </c>
      <c r="E105" s="940"/>
      <c r="F105" s="1053"/>
      <c r="G105" s="1067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331" t="s">
        <v>2147</v>
      </c>
      <c r="S105" s="1067"/>
      <c r="T105" s="944"/>
      <c r="U105" s="937"/>
    </row>
    <row r="106" spans="1:21" ht="45" customHeight="1" thickBot="1" x14ac:dyDescent="0.35">
      <c r="A106" s="1060"/>
      <c r="B106" s="1063"/>
      <c r="C106" s="269" t="s">
        <v>2148</v>
      </c>
      <c r="D106" s="269">
        <v>1.43</v>
      </c>
      <c r="E106" s="939"/>
      <c r="F106" s="1054"/>
      <c r="G106" s="1068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332" t="s">
        <v>2149</v>
      </c>
      <c r="S106" s="1068"/>
      <c r="T106" s="942"/>
      <c r="U106" s="930"/>
    </row>
    <row r="107" spans="1:21" ht="36.6" thickBot="1" x14ac:dyDescent="0.35">
      <c r="A107" s="353" t="s">
        <v>2150</v>
      </c>
      <c r="B107" s="354" t="s">
        <v>2151</v>
      </c>
      <c r="C107" s="263">
        <v>0</v>
      </c>
      <c r="D107" s="263">
        <v>1.85</v>
      </c>
      <c r="E107" s="263">
        <v>1.85</v>
      </c>
      <c r="F107" s="355">
        <v>11592</v>
      </c>
      <c r="G107" s="356" t="s">
        <v>32</v>
      </c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356" t="s">
        <v>2152</v>
      </c>
      <c r="S107" s="356"/>
      <c r="T107" s="65" t="s">
        <v>1982</v>
      </c>
      <c r="U107" s="258"/>
    </row>
    <row r="108" spans="1:21" x14ac:dyDescent="0.3">
      <c r="A108" s="1073" t="s">
        <v>2153</v>
      </c>
      <c r="B108" s="1074" t="s">
        <v>2154</v>
      </c>
      <c r="C108" s="265">
        <v>0</v>
      </c>
      <c r="D108" s="265">
        <v>0.56000000000000005</v>
      </c>
      <c r="E108" s="938">
        <v>2.88</v>
      </c>
      <c r="F108" s="1052">
        <f>E108*4500</f>
        <v>12960</v>
      </c>
      <c r="G108" s="1075" t="s">
        <v>32</v>
      </c>
      <c r="H108" s="270"/>
      <c r="I108" s="270"/>
      <c r="J108" s="270"/>
      <c r="K108" s="270"/>
      <c r="L108" s="270"/>
      <c r="M108" s="270"/>
      <c r="N108" s="270"/>
      <c r="O108" s="270"/>
      <c r="P108" s="270"/>
      <c r="Q108" s="270"/>
      <c r="R108" s="1075" t="s">
        <v>2155</v>
      </c>
      <c r="S108" s="1075"/>
      <c r="T108" s="941" t="s">
        <v>1982</v>
      </c>
      <c r="U108" s="929"/>
    </row>
    <row r="109" spans="1:21" ht="51.6" customHeight="1" thickBot="1" x14ac:dyDescent="0.35">
      <c r="A109" s="1060"/>
      <c r="B109" s="1063"/>
      <c r="C109" s="269">
        <v>0.56000000000000005</v>
      </c>
      <c r="D109" s="269">
        <v>2.88</v>
      </c>
      <c r="E109" s="939"/>
      <c r="F109" s="1054"/>
      <c r="G109" s="1068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1068"/>
      <c r="S109" s="1068"/>
      <c r="T109" s="942"/>
      <c r="U109" s="930"/>
    </row>
    <row r="110" spans="1:21" x14ac:dyDescent="0.3">
      <c r="A110" s="1073" t="s">
        <v>2156</v>
      </c>
      <c r="B110" s="1074" t="s">
        <v>2157</v>
      </c>
      <c r="C110" s="938">
        <v>0</v>
      </c>
      <c r="D110" s="938">
        <f>E110</f>
        <v>3.15</v>
      </c>
      <c r="E110" s="938">
        <v>3.15</v>
      </c>
      <c r="F110" s="1052">
        <f>E110*4500</f>
        <v>14175</v>
      </c>
      <c r="G110" s="1075" t="s">
        <v>32</v>
      </c>
      <c r="H110" s="941"/>
      <c r="I110" s="941"/>
      <c r="J110" s="941"/>
      <c r="K110" s="941"/>
      <c r="L110" s="941"/>
      <c r="M110" s="941"/>
      <c r="N110" s="941"/>
      <c r="O110" s="941"/>
      <c r="P110" s="941"/>
      <c r="Q110" s="941"/>
      <c r="R110" s="1075" t="s">
        <v>2158</v>
      </c>
      <c r="S110" s="1075"/>
      <c r="T110" s="941" t="s">
        <v>1982</v>
      </c>
      <c r="U110" s="929"/>
    </row>
    <row r="111" spans="1:21" ht="37.200000000000003" customHeight="1" thickBot="1" x14ac:dyDescent="0.35">
      <c r="A111" s="1060"/>
      <c r="B111" s="1063"/>
      <c r="C111" s="939"/>
      <c r="D111" s="939"/>
      <c r="E111" s="939"/>
      <c r="F111" s="1054"/>
      <c r="G111" s="1068"/>
      <c r="H111" s="942"/>
      <c r="I111" s="942"/>
      <c r="J111" s="942"/>
      <c r="K111" s="942"/>
      <c r="L111" s="942"/>
      <c r="M111" s="942"/>
      <c r="N111" s="942"/>
      <c r="O111" s="942"/>
      <c r="P111" s="942"/>
      <c r="Q111" s="942"/>
      <c r="R111" s="1068"/>
      <c r="S111" s="1068"/>
      <c r="T111" s="942"/>
      <c r="U111" s="930"/>
    </row>
    <row r="112" spans="1:21" ht="24" x14ac:dyDescent="0.3">
      <c r="A112" s="1073" t="s">
        <v>2159</v>
      </c>
      <c r="B112" s="1074" t="s">
        <v>2160</v>
      </c>
      <c r="C112" s="265">
        <v>0</v>
      </c>
      <c r="D112" s="265">
        <v>2.67</v>
      </c>
      <c r="E112" s="938">
        <v>3.76</v>
      </c>
      <c r="F112" s="1052">
        <f>E112*4900</f>
        <v>18424</v>
      </c>
      <c r="G112" s="1075" t="s">
        <v>32</v>
      </c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333" t="s">
        <v>2161</v>
      </c>
      <c r="S112" s="1075"/>
      <c r="T112" s="941" t="s">
        <v>1982</v>
      </c>
      <c r="U112" s="929"/>
    </row>
    <row r="113" spans="1:21" ht="28.2" customHeight="1" thickBot="1" x14ac:dyDescent="0.35">
      <c r="A113" s="1060"/>
      <c r="B113" s="1063"/>
      <c r="C113" s="269">
        <v>2.67</v>
      </c>
      <c r="D113" s="269">
        <v>3.76</v>
      </c>
      <c r="E113" s="939"/>
      <c r="F113" s="1054"/>
      <c r="G113" s="1068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332" t="s">
        <v>2162</v>
      </c>
      <c r="S113" s="1068"/>
      <c r="T113" s="942"/>
      <c r="U113" s="930"/>
    </row>
    <row r="114" spans="1:21" ht="24" x14ac:dyDescent="0.3">
      <c r="A114" s="1073" t="s">
        <v>2163</v>
      </c>
      <c r="B114" s="1074" t="s">
        <v>2164</v>
      </c>
      <c r="C114" s="265">
        <v>0</v>
      </c>
      <c r="D114" s="265">
        <v>0.04</v>
      </c>
      <c r="E114" s="938">
        <v>0.85</v>
      </c>
      <c r="F114" s="1052">
        <f>E114*3000</f>
        <v>2550</v>
      </c>
      <c r="G114" s="1075" t="s">
        <v>32</v>
      </c>
      <c r="H114" s="270"/>
      <c r="I114" s="270"/>
      <c r="J114" s="270"/>
      <c r="K114" s="270"/>
      <c r="L114" s="270"/>
      <c r="M114" s="270"/>
      <c r="N114" s="270"/>
      <c r="O114" s="270"/>
      <c r="P114" s="270"/>
      <c r="Q114" s="270"/>
      <c r="R114" s="333" t="s">
        <v>2165</v>
      </c>
      <c r="S114" s="1075"/>
      <c r="T114" s="941" t="s">
        <v>1982</v>
      </c>
      <c r="U114" s="929" t="s">
        <v>67</v>
      </c>
    </row>
    <row r="115" spans="1:21" ht="24" x14ac:dyDescent="0.3">
      <c r="A115" s="1059"/>
      <c r="B115" s="1062"/>
      <c r="C115" s="267">
        <v>0.04</v>
      </c>
      <c r="D115" s="267">
        <v>0.06</v>
      </c>
      <c r="E115" s="940"/>
      <c r="F115" s="1053"/>
      <c r="G115" s="1067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331" t="s">
        <v>2166</v>
      </c>
      <c r="S115" s="1067"/>
      <c r="T115" s="944"/>
      <c r="U115" s="937"/>
    </row>
    <row r="116" spans="1:21" ht="24" x14ac:dyDescent="0.3">
      <c r="A116" s="1059"/>
      <c r="B116" s="1062"/>
      <c r="C116" s="267">
        <v>0.06</v>
      </c>
      <c r="D116" s="267">
        <v>0.22</v>
      </c>
      <c r="E116" s="940"/>
      <c r="F116" s="1053"/>
      <c r="G116" s="1067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331" t="s">
        <v>2167</v>
      </c>
      <c r="S116" s="1067"/>
      <c r="T116" s="944"/>
      <c r="U116" s="937"/>
    </row>
    <row r="117" spans="1:21" ht="24" x14ac:dyDescent="0.3">
      <c r="A117" s="1059"/>
      <c r="B117" s="1062"/>
      <c r="C117" s="267">
        <v>0.22</v>
      </c>
      <c r="D117" s="267">
        <v>0.26</v>
      </c>
      <c r="E117" s="940"/>
      <c r="F117" s="1053"/>
      <c r="G117" s="1067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331" t="s">
        <v>2168</v>
      </c>
      <c r="S117" s="1067"/>
      <c r="T117" s="944"/>
      <c r="U117" s="937"/>
    </row>
    <row r="118" spans="1:21" ht="36" x14ac:dyDescent="0.3">
      <c r="A118" s="1059"/>
      <c r="B118" s="1062"/>
      <c r="C118" s="267">
        <v>0.26</v>
      </c>
      <c r="D118" s="267">
        <v>0.45</v>
      </c>
      <c r="E118" s="940"/>
      <c r="F118" s="1053"/>
      <c r="G118" s="1067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331" t="s">
        <v>2169</v>
      </c>
      <c r="S118" s="1067"/>
      <c r="T118" s="944"/>
      <c r="U118" s="937"/>
    </row>
    <row r="119" spans="1:21" ht="24" x14ac:dyDescent="0.3">
      <c r="A119" s="1059"/>
      <c r="B119" s="1062"/>
      <c r="C119" s="267">
        <v>0.45</v>
      </c>
      <c r="D119" s="267">
        <v>0.51</v>
      </c>
      <c r="E119" s="940"/>
      <c r="F119" s="1053"/>
      <c r="G119" s="1067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331" t="s">
        <v>2170</v>
      </c>
      <c r="S119" s="1067"/>
      <c r="T119" s="944"/>
      <c r="U119" s="937"/>
    </row>
    <row r="120" spans="1:21" x14ac:dyDescent="0.3">
      <c r="A120" s="1059"/>
      <c r="B120" s="1062"/>
      <c r="C120" s="267">
        <v>0.51</v>
      </c>
      <c r="D120" s="267">
        <v>0.57999999999999996</v>
      </c>
      <c r="E120" s="940"/>
      <c r="F120" s="1053"/>
      <c r="G120" s="1067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331" t="s">
        <v>2171</v>
      </c>
      <c r="S120" s="1067"/>
      <c r="T120" s="944"/>
      <c r="U120" s="937"/>
    </row>
    <row r="121" spans="1:21" ht="24" x14ac:dyDescent="0.3">
      <c r="A121" s="1059"/>
      <c r="B121" s="1062"/>
      <c r="C121" s="267">
        <v>0.57999999999999996</v>
      </c>
      <c r="D121" s="267">
        <v>0.83</v>
      </c>
      <c r="E121" s="940"/>
      <c r="F121" s="1053"/>
      <c r="G121" s="1067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331" t="s">
        <v>2172</v>
      </c>
      <c r="S121" s="1067"/>
      <c r="T121" s="944"/>
      <c r="U121" s="937"/>
    </row>
    <row r="122" spans="1:21" ht="15" thickBot="1" x14ac:dyDescent="0.35">
      <c r="A122" s="1060"/>
      <c r="B122" s="1063"/>
      <c r="C122" s="269">
        <v>0.83</v>
      </c>
      <c r="D122" s="269">
        <v>0.85</v>
      </c>
      <c r="E122" s="939"/>
      <c r="F122" s="1054"/>
      <c r="G122" s="1068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332" t="s">
        <v>2171</v>
      </c>
      <c r="S122" s="1068"/>
      <c r="T122" s="942"/>
      <c r="U122" s="930"/>
    </row>
    <row r="123" spans="1:21" x14ac:dyDescent="0.3">
      <c r="A123" s="1073" t="s">
        <v>2173</v>
      </c>
      <c r="B123" s="1074" t="s">
        <v>2174</v>
      </c>
      <c r="C123" s="265">
        <v>0</v>
      </c>
      <c r="D123" s="265">
        <v>1.07</v>
      </c>
      <c r="E123" s="938">
        <v>0.56000000000000005</v>
      </c>
      <c r="F123" s="941">
        <v>2240</v>
      </c>
      <c r="G123" s="1075" t="s">
        <v>32</v>
      </c>
      <c r="H123" s="333"/>
      <c r="I123" s="333"/>
      <c r="J123" s="333"/>
      <c r="K123" s="333"/>
      <c r="L123" s="333"/>
      <c r="M123" s="333"/>
      <c r="N123" s="333"/>
      <c r="O123" s="333"/>
      <c r="P123" s="333"/>
      <c r="Q123" s="333"/>
      <c r="R123" s="333" t="s">
        <v>2175</v>
      </c>
      <c r="S123" s="1075"/>
      <c r="T123" s="941" t="s">
        <v>1982</v>
      </c>
      <c r="U123" s="929" t="s">
        <v>67</v>
      </c>
    </row>
    <row r="124" spans="1:21" x14ac:dyDescent="0.3">
      <c r="A124" s="1059"/>
      <c r="B124" s="1062"/>
      <c r="C124" s="267">
        <v>1.07</v>
      </c>
      <c r="D124" s="267">
        <v>1.54</v>
      </c>
      <c r="E124" s="940"/>
      <c r="F124" s="1067"/>
      <c r="G124" s="1067"/>
      <c r="H124" s="331"/>
      <c r="I124" s="331"/>
      <c r="J124" s="331"/>
      <c r="K124" s="331"/>
      <c r="L124" s="331"/>
      <c r="M124" s="331"/>
      <c r="N124" s="331"/>
      <c r="O124" s="331"/>
      <c r="P124" s="331"/>
      <c r="Q124" s="331"/>
      <c r="R124" s="331" t="s">
        <v>2176</v>
      </c>
      <c r="S124" s="1067"/>
      <c r="T124" s="944"/>
      <c r="U124" s="937"/>
    </row>
    <row r="125" spans="1:21" ht="24.6" customHeight="1" thickBot="1" x14ac:dyDescent="0.35">
      <c r="A125" s="1060"/>
      <c r="B125" s="1063"/>
      <c r="C125" s="269">
        <v>1.54</v>
      </c>
      <c r="D125" s="269">
        <v>0.56000000000000005</v>
      </c>
      <c r="E125" s="939"/>
      <c r="F125" s="1068"/>
      <c r="G125" s="1068"/>
      <c r="H125" s="332"/>
      <c r="I125" s="332"/>
      <c r="J125" s="332"/>
      <c r="K125" s="332"/>
      <c r="L125" s="332"/>
      <c r="M125" s="332"/>
      <c r="N125" s="332"/>
      <c r="O125" s="332"/>
      <c r="P125" s="332"/>
      <c r="Q125" s="332"/>
      <c r="R125" s="332" t="s">
        <v>2177</v>
      </c>
      <c r="S125" s="1068"/>
      <c r="T125" s="942"/>
      <c r="U125" s="930"/>
    </row>
    <row r="126" spans="1:21" ht="24" x14ac:dyDescent="0.3">
      <c r="A126" s="1073" t="s">
        <v>2178</v>
      </c>
      <c r="B126" s="1074" t="s">
        <v>2179</v>
      </c>
      <c r="C126" s="265">
        <v>0</v>
      </c>
      <c r="D126" s="265">
        <v>0.25</v>
      </c>
      <c r="E126" s="938">
        <v>1.83</v>
      </c>
      <c r="F126" s="1052">
        <f>E126*4900</f>
        <v>8967</v>
      </c>
      <c r="G126" s="1075" t="s">
        <v>32</v>
      </c>
      <c r="H126" s="270"/>
      <c r="I126" s="270"/>
      <c r="J126" s="270"/>
      <c r="K126" s="270"/>
      <c r="L126" s="270"/>
      <c r="M126" s="270"/>
      <c r="N126" s="270"/>
      <c r="O126" s="270"/>
      <c r="P126" s="270"/>
      <c r="Q126" s="260"/>
      <c r="R126" s="270" t="s">
        <v>2180</v>
      </c>
      <c r="S126" s="1075"/>
      <c r="T126" s="941" t="s">
        <v>1982</v>
      </c>
      <c r="U126" s="929"/>
    </row>
    <row r="127" spans="1:21" ht="24" x14ac:dyDescent="0.3">
      <c r="A127" s="1059"/>
      <c r="B127" s="1062"/>
      <c r="C127" s="267">
        <v>0.25</v>
      </c>
      <c r="D127" s="267">
        <v>0.42</v>
      </c>
      <c r="E127" s="940"/>
      <c r="F127" s="1053"/>
      <c r="G127" s="1067"/>
      <c r="H127" s="273"/>
      <c r="I127" s="273"/>
      <c r="J127" s="273"/>
      <c r="K127" s="273"/>
      <c r="L127" s="273"/>
      <c r="M127" s="273"/>
      <c r="N127" s="273"/>
      <c r="O127" s="273"/>
      <c r="P127" s="273"/>
      <c r="Q127" s="268"/>
      <c r="R127" s="273" t="s">
        <v>2181</v>
      </c>
      <c r="S127" s="1067"/>
      <c r="T127" s="944"/>
      <c r="U127" s="937"/>
    </row>
    <row r="128" spans="1:21" ht="24" x14ac:dyDescent="0.3">
      <c r="A128" s="1059"/>
      <c r="B128" s="1062"/>
      <c r="C128" s="267">
        <v>0.42</v>
      </c>
      <c r="D128" s="267">
        <v>0.52</v>
      </c>
      <c r="E128" s="940"/>
      <c r="F128" s="1053"/>
      <c r="G128" s="1067"/>
      <c r="H128" s="273"/>
      <c r="I128" s="273"/>
      <c r="J128" s="273"/>
      <c r="K128" s="273"/>
      <c r="L128" s="273"/>
      <c r="M128" s="273"/>
      <c r="N128" s="273"/>
      <c r="O128" s="273"/>
      <c r="P128" s="273"/>
      <c r="Q128" s="268"/>
      <c r="R128" s="273" t="s">
        <v>2182</v>
      </c>
      <c r="S128" s="1067"/>
      <c r="T128" s="944"/>
      <c r="U128" s="937"/>
    </row>
    <row r="129" spans="1:21" x14ac:dyDescent="0.3">
      <c r="A129" s="1059"/>
      <c r="B129" s="1062"/>
      <c r="C129" s="267">
        <v>0.52</v>
      </c>
      <c r="D129" s="267">
        <v>1.02</v>
      </c>
      <c r="E129" s="940"/>
      <c r="F129" s="1053"/>
      <c r="G129" s="1067"/>
      <c r="H129" s="273"/>
      <c r="I129" s="273"/>
      <c r="J129" s="273"/>
      <c r="K129" s="273"/>
      <c r="L129" s="273"/>
      <c r="M129" s="273"/>
      <c r="N129" s="273"/>
      <c r="O129" s="273"/>
      <c r="P129" s="273"/>
      <c r="Q129" s="268"/>
      <c r="R129" s="273" t="s">
        <v>2183</v>
      </c>
      <c r="S129" s="1067"/>
      <c r="T129" s="944"/>
      <c r="U129" s="937"/>
    </row>
    <row r="130" spans="1:21" x14ac:dyDescent="0.3">
      <c r="A130" s="1059"/>
      <c r="B130" s="1062"/>
      <c r="C130" s="267">
        <v>1.02</v>
      </c>
      <c r="D130" s="267">
        <v>1.34</v>
      </c>
      <c r="E130" s="940"/>
      <c r="F130" s="1053"/>
      <c r="G130" s="1067"/>
      <c r="H130" s="331"/>
      <c r="I130" s="331"/>
      <c r="J130" s="331"/>
      <c r="K130" s="331"/>
      <c r="L130" s="331"/>
      <c r="M130" s="331"/>
      <c r="N130" s="331"/>
      <c r="O130" s="331"/>
      <c r="P130" s="331"/>
      <c r="Q130" s="268"/>
      <c r="R130" s="273">
        <v>70700090199</v>
      </c>
      <c r="S130" s="1067"/>
      <c r="T130" s="944"/>
      <c r="U130" s="937"/>
    </row>
    <row r="131" spans="1:21" ht="24" x14ac:dyDescent="0.3">
      <c r="A131" s="1059"/>
      <c r="B131" s="1062"/>
      <c r="C131" s="267">
        <v>1.34</v>
      </c>
      <c r="D131" s="267">
        <v>1.52</v>
      </c>
      <c r="E131" s="940"/>
      <c r="F131" s="1053"/>
      <c r="G131" s="1067"/>
      <c r="H131" s="331"/>
      <c r="I131" s="331"/>
      <c r="J131" s="331"/>
      <c r="K131" s="331"/>
      <c r="L131" s="331"/>
      <c r="M131" s="331"/>
      <c r="N131" s="331"/>
      <c r="O131" s="331"/>
      <c r="P131" s="331"/>
      <c r="Q131" s="273"/>
      <c r="R131" s="273" t="s">
        <v>2184</v>
      </c>
      <c r="S131" s="1067"/>
      <c r="T131" s="944"/>
      <c r="U131" s="937"/>
    </row>
    <row r="132" spans="1:21" ht="15" thickBot="1" x14ac:dyDescent="0.35">
      <c r="A132" s="1060"/>
      <c r="B132" s="1063"/>
      <c r="C132" s="269">
        <v>1.52</v>
      </c>
      <c r="D132" s="269">
        <v>1.83</v>
      </c>
      <c r="E132" s="939"/>
      <c r="F132" s="1054"/>
      <c r="G132" s="1068"/>
      <c r="H132" s="332"/>
      <c r="I132" s="332"/>
      <c r="J132" s="332"/>
      <c r="K132" s="332"/>
      <c r="L132" s="332"/>
      <c r="M132" s="332"/>
      <c r="N132" s="332"/>
      <c r="O132" s="332"/>
      <c r="P132" s="332"/>
      <c r="Q132" s="271"/>
      <c r="R132" s="271" t="s">
        <v>2185</v>
      </c>
      <c r="S132" s="1068"/>
      <c r="T132" s="942"/>
      <c r="U132" s="930"/>
    </row>
    <row r="133" spans="1:21" x14ac:dyDescent="0.3">
      <c r="A133" s="1073" t="s">
        <v>2186</v>
      </c>
      <c r="B133" s="1074" t="s">
        <v>2187</v>
      </c>
      <c r="C133" s="265">
        <v>0</v>
      </c>
      <c r="D133" s="265" t="s">
        <v>2188</v>
      </c>
      <c r="E133" s="938">
        <v>0.93</v>
      </c>
      <c r="F133" s="1052">
        <f>E133*4100</f>
        <v>3813</v>
      </c>
      <c r="G133" s="1075" t="s">
        <v>32</v>
      </c>
      <c r="H133" s="270"/>
      <c r="I133" s="270"/>
      <c r="J133" s="270"/>
      <c r="K133" s="270"/>
      <c r="L133" s="270"/>
      <c r="M133" s="270"/>
      <c r="N133" s="270"/>
      <c r="O133" s="270"/>
      <c r="P133" s="270"/>
      <c r="Q133" s="270"/>
      <c r="R133" s="333" t="s">
        <v>2189</v>
      </c>
      <c r="S133" s="1075"/>
      <c r="T133" s="941" t="s">
        <v>1982</v>
      </c>
      <c r="U133" s="929"/>
    </row>
    <row r="134" spans="1:21" ht="24" x14ac:dyDescent="0.3">
      <c r="A134" s="1059"/>
      <c r="B134" s="1062"/>
      <c r="C134" s="267" t="s">
        <v>2188</v>
      </c>
      <c r="D134" s="267">
        <v>0.15</v>
      </c>
      <c r="E134" s="940"/>
      <c r="F134" s="1053"/>
      <c r="G134" s="1067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331" t="s">
        <v>2190</v>
      </c>
      <c r="S134" s="1067"/>
      <c r="T134" s="944"/>
      <c r="U134" s="937"/>
    </row>
    <row r="135" spans="1:21" ht="24" x14ac:dyDescent="0.3">
      <c r="A135" s="1059"/>
      <c r="B135" s="1062"/>
      <c r="C135" s="267">
        <v>0.15</v>
      </c>
      <c r="D135" s="267">
        <v>0.25</v>
      </c>
      <c r="E135" s="940"/>
      <c r="F135" s="1053"/>
      <c r="G135" s="1067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331" t="s">
        <v>2191</v>
      </c>
      <c r="S135" s="1067"/>
      <c r="T135" s="944"/>
      <c r="U135" s="937"/>
    </row>
    <row r="136" spans="1:21" ht="24" x14ac:dyDescent="0.3">
      <c r="A136" s="1059"/>
      <c r="B136" s="1062"/>
      <c r="C136" s="267">
        <v>0.25</v>
      </c>
      <c r="D136" s="267">
        <v>0.59</v>
      </c>
      <c r="E136" s="940"/>
      <c r="F136" s="1053"/>
      <c r="G136" s="1067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331" t="s">
        <v>2192</v>
      </c>
      <c r="S136" s="1067"/>
      <c r="T136" s="944"/>
      <c r="U136" s="937"/>
    </row>
    <row r="137" spans="1:21" ht="24" x14ac:dyDescent="0.3">
      <c r="A137" s="1059"/>
      <c r="B137" s="1062"/>
      <c r="C137" s="267">
        <v>0.59</v>
      </c>
      <c r="D137" s="267">
        <v>0.69</v>
      </c>
      <c r="E137" s="940"/>
      <c r="F137" s="1053"/>
      <c r="G137" s="1067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331" t="s">
        <v>2193</v>
      </c>
      <c r="S137" s="1067"/>
      <c r="T137" s="944"/>
      <c r="U137" s="937"/>
    </row>
    <row r="138" spans="1:21" ht="24" x14ac:dyDescent="0.3">
      <c r="A138" s="1059"/>
      <c r="B138" s="1062"/>
      <c r="C138" s="267">
        <v>0.69</v>
      </c>
      <c r="D138" s="267">
        <v>0.89</v>
      </c>
      <c r="E138" s="940"/>
      <c r="F138" s="1053"/>
      <c r="G138" s="1067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331" t="s">
        <v>2194</v>
      </c>
      <c r="S138" s="1067"/>
      <c r="T138" s="944"/>
      <c r="U138" s="937"/>
    </row>
    <row r="139" spans="1:21" ht="24.6" thickBot="1" x14ac:dyDescent="0.35">
      <c r="A139" s="1060"/>
      <c r="B139" s="1063"/>
      <c r="C139" s="269">
        <v>0.89</v>
      </c>
      <c r="D139" s="269">
        <v>0.93</v>
      </c>
      <c r="E139" s="939"/>
      <c r="F139" s="1054"/>
      <c r="G139" s="1068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332" t="s">
        <v>2195</v>
      </c>
      <c r="S139" s="1068"/>
      <c r="T139" s="942"/>
      <c r="U139" s="930"/>
    </row>
    <row r="140" spans="1:21" x14ac:dyDescent="0.3">
      <c r="A140" s="1073" t="s">
        <v>2196</v>
      </c>
      <c r="B140" s="1074" t="s">
        <v>2197</v>
      </c>
      <c r="C140" s="265">
        <v>0</v>
      </c>
      <c r="D140" s="265">
        <v>0.03</v>
      </c>
      <c r="E140" s="938">
        <v>0.89</v>
      </c>
      <c r="F140" s="1052">
        <f>E140*4300</f>
        <v>3827</v>
      </c>
      <c r="G140" s="1075" t="s">
        <v>32</v>
      </c>
      <c r="H140" s="270"/>
      <c r="I140" s="270"/>
      <c r="J140" s="270"/>
      <c r="K140" s="270"/>
      <c r="L140" s="270"/>
      <c r="M140" s="270"/>
      <c r="N140" s="270"/>
      <c r="O140" s="270"/>
      <c r="P140" s="270"/>
      <c r="Q140" s="270"/>
      <c r="R140" s="333" t="s">
        <v>2198</v>
      </c>
      <c r="S140" s="1075"/>
      <c r="T140" s="941" t="s">
        <v>1982</v>
      </c>
      <c r="U140" s="929" t="s">
        <v>67</v>
      </c>
    </row>
    <row r="141" spans="1:21" x14ac:dyDescent="0.3">
      <c r="A141" s="1059"/>
      <c r="B141" s="1062"/>
      <c r="C141" s="267">
        <v>0.03</v>
      </c>
      <c r="D141" s="267">
        <v>0.44</v>
      </c>
      <c r="E141" s="940"/>
      <c r="F141" s="1053"/>
      <c r="G141" s="1067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331" t="s">
        <v>2199</v>
      </c>
      <c r="S141" s="1067"/>
      <c r="T141" s="944"/>
      <c r="U141" s="937"/>
    </row>
    <row r="142" spans="1:21" ht="36.6" thickBot="1" x14ac:dyDescent="0.35">
      <c r="A142" s="1060"/>
      <c r="B142" s="1063"/>
      <c r="C142" s="269">
        <v>0.44</v>
      </c>
      <c r="D142" s="269">
        <v>0.89</v>
      </c>
      <c r="E142" s="939"/>
      <c r="F142" s="1054"/>
      <c r="G142" s="1068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332" t="s">
        <v>2200</v>
      </c>
      <c r="S142" s="1068"/>
      <c r="T142" s="942"/>
      <c r="U142" s="930"/>
    </row>
    <row r="143" spans="1:21" x14ac:dyDescent="0.3">
      <c r="A143" s="1073" t="s">
        <v>2201</v>
      </c>
      <c r="B143" s="1074" t="s">
        <v>2202</v>
      </c>
      <c r="C143" s="265">
        <v>0</v>
      </c>
      <c r="D143" s="265">
        <v>0.26</v>
      </c>
      <c r="E143" s="938">
        <v>0.82</v>
      </c>
      <c r="F143" s="1052">
        <f>E143*3800</f>
        <v>3116</v>
      </c>
      <c r="G143" s="1075" t="s">
        <v>32</v>
      </c>
      <c r="H143" s="270"/>
      <c r="I143" s="270"/>
      <c r="J143" s="270"/>
      <c r="K143" s="270"/>
      <c r="L143" s="270"/>
      <c r="M143" s="270"/>
      <c r="N143" s="270"/>
      <c r="O143" s="270"/>
      <c r="P143" s="270"/>
      <c r="Q143" s="270"/>
      <c r="R143" s="333" t="s">
        <v>2203</v>
      </c>
      <c r="S143" s="1075"/>
      <c r="T143" s="941" t="s">
        <v>1982</v>
      </c>
      <c r="U143" s="929"/>
    </row>
    <row r="144" spans="1:21" ht="36" x14ac:dyDescent="0.3">
      <c r="A144" s="1059"/>
      <c r="B144" s="1062"/>
      <c r="C144" s="267">
        <v>0.26</v>
      </c>
      <c r="D144" s="267">
        <v>0.46</v>
      </c>
      <c r="E144" s="940"/>
      <c r="F144" s="1053"/>
      <c r="G144" s="1067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331" t="s">
        <v>2204</v>
      </c>
      <c r="S144" s="1067"/>
      <c r="T144" s="944"/>
      <c r="U144" s="937"/>
    </row>
    <row r="145" spans="1:22" ht="15" thickBot="1" x14ac:dyDescent="0.35">
      <c r="A145" s="1060"/>
      <c r="B145" s="1063"/>
      <c r="C145" s="269">
        <v>0.46</v>
      </c>
      <c r="D145" s="269">
        <v>0.82</v>
      </c>
      <c r="E145" s="939"/>
      <c r="F145" s="1054"/>
      <c r="G145" s="1068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332" t="s">
        <v>2205</v>
      </c>
      <c r="S145" s="1068"/>
      <c r="T145" s="942"/>
      <c r="U145" s="930"/>
    </row>
    <row r="146" spans="1:22" ht="24" x14ac:dyDescent="0.3">
      <c r="A146" s="1073" t="s">
        <v>2206</v>
      </c>
      <c r="B146" s="1074" t="s">
        <v>2207</v>
      </c>
      <c r="C146" s="265">
        <v>0</v>
      </c>
      <c r="D146" s="265">
        <v>0.21</v>
      </c>
      <c r="E146" s="938">
        <v>0.99</v>
      </c>
      <c r="F146" s="1052">
        <f>E146*6400</f>
        <v>6336</v>
      </c>
      <c r="G146" s="1075" t="s">
        <v>32</v>
      </c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333" t="s">
        <v>2208</v>
      </c>
      <c r="S146" s="1075"/>
      <c r="T146" s="941" t="s">
        <v>1982</v>
      </c>
      <c r="U146" s="929"/>
    </row>
    <row r="147" spans="1:22" x14ac:dyDescent="0.3">
      <c r="A147" s="1059"/>
      <c r="B147" s="1062"/>
      <c r="C147" s="267">
        <v>0.21</v>
      </c>
      <c r="D147" s="267">
        <v>0.52</v>
      </c>
      <c r="E147" s="940"/>
      <c r="F147" s="1053"/>
      <c r="G147" s="1067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331" t="s">
        <v>2209</v>
      </c>
      <c r="S147" s="1067"/>
      <c r="T147" s="944"/>
      <c r="U147" s="937"/>
    </row>
    <row r="148" spans="1:22" x14ac:dyDescent="0.3">
      <c r="A148" s="1059"/>
      <c r="B148" s="1062"/>
      <c r="C148" s="267">
        <v>0.52</v>
      </c>
      <c r="D148" s="267">
        <v>0.87</v>
      </c>
      <c r="E148" s="940"/>
      <c r="F148" s="1053"/>
      <c r="G148" s="1067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331" t="s">
        <v>2210</v>
      </c>
      <c r="S148" s="1067"/>
      <c r="T148" s="944"/>
      <c r="U148" s="937"/>
    </row>
    <row r="149" spans="1:22" ht="15" thickBot="1" x14ac:dyDescent="0.35">
      <c r="A149" s="1060"/>
      <c r="B149" s="1063"/>
      <c r="C149" s="269">
        <v>0.87</v>
      </c>
      <c r="D149" s="269">
        <v>0.99</v>
      </c>
      <c r="E149" s="939"/>
      <c r="F149" s="1054"/>
      <c r="G149" s="1068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332" t="s">
        <v>2147</v>
      </c>
      <c r="S149" s="1068"/>
      <c r="T149" s="942"/>
      <c r="U149" s="930"/>
    </row>
    <row r="150" spans="1:22" ht="36.6" thickBot="1" x14ac:dyDescent="0.35">
      <c r="A150" s="353" t="s">
        <v>2211</v>
      </c>
      <c r="B150" s="354" t="s">
        <v>2212</v>
      </c>
      <c r="C150" s="263">
        <v>0</v>
      </c>
      <c r="D150" s="263">
        <v>0.22</v>
      </c>
      <c r="E150" s="263">
        <v>0.22</v>
      </c>
      <c r="F150" s="355">
        <f>E150*3.5*1000</f>
        <v>770</v>
      </c>
      <c r="G150" s="356" t="s">
        <v>32</v>
      </c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356" t="s">
        <v>2213</v>
      </c>
      <c r="S150" s="356"/>
      <c r="T150" s="65" t="s">
        <v>1982</v>
      </c>
      <c r="U150" s="258"/>
    </row>
    <row r="151" spans="1:22" ht="14.4" customHeight="1" x14ac:dyDescent="0.3">
      <c r="A151" s="1073" t="s">
        <v>2214</v>
      </c>
      <c r="B151" s="1074" t="s">
        <v>2215</v>
      </c>
      <c r="C151" s="265">
        <v>0</v>
      </c>
      <c r="D151" s="265">
        <v>6.2E-2</v>
      </c>
      <c r="E151" s="938">
        <v>0.96499999999999997</v>
      </c>
      <c r="F151" s="1077">
        <v>3859</v>
      </c>
      <c r="G151" s="1080" t="s">
        <v>32</v>
      </c>
      <c r="H151" s="270"/>
      <c r="I151" s="270"/>
      <c r="J151" s="270"/>
      <c r="K151" s="270"/>
      <c r="L151" s="270"/>
      <c r="M151" s="270"/>
      <c r="N151" s="270"/>
      <c r="O151" s="270"/>
      <c r="P151" s="270"/>
      <c r="Q151" s="270"/>
      <c r="R151" s="333" t="s">
        <v>2216</v>
      </c>
      <c r="S151" s="1075"/>
      <c r="T151" s="941" t="s">
        <v>1982</v>
      </c>
      <c r="U151" s="359"/>
      <c r="V151" s="1076"/>
    </row>
    <row r="152" spans="1:22" x14ac:dyDescent="0.3">
      <c r="A152" s="1059"/>
      <c r="B152" s="1062"/>
      <c r="C152" s="267">
        <v>6.2E-2</v>
      </c>
      <c r="D152" s="267">
        <v>0.71799999999999997</v>
      </c>
      <c r="E152" s="940"/>
      <c r="F152" s="1078"/>
      <c r="G152" s="1081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331" t="s">
        <v>2217</v>
      </c>
      <c r="S152" s="1067"/>
      <c r="T152" s="944"/>
      <c r="U152" s="360"/>
      <c r="V152" s="1076"/>
    </row>
    <row r="153" spans="1:22" ht="15" thickBot="1" x14ac:dyDescent="0.35">
      <c r="A153" s="1060"/>
      <c r="B153" s="1063"/>
      <c r="C153" s="269">
        <v>0.71799999999999997</v>
      </c>
      <c r="D153" s="269">
        <v>0.96499999999999997</v>
      </c>
      <c r="E153" s="939"/>
      <c r="F153" s="1079"/>
      <c r="G153" s="1082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332" t="s">
        <v>2218</v>
      </c>
      <c r="S153" s="332"/>
      <c r="T153" s="942"/>
      <c r="U153" s="363"/>
      <c r="V153" s="358"/>
    </row>
    <row r="154" spans="1:22" ht="36.6" thickBot="1" x14ac:dyDescent="0.35">
      <c r="A154" s="364" t="s">
        <v>2219</v>
      </c>
      <c r="B154" s="365" t="s">
        <v>2220</v>
      </c>
      <c r="C154" s="366">
        <v>0</v>
      </c>
      <c r="D154" s="366">
        <v>0.82</v>
      </c>
      <c r="E154" s="366">
        <v>0.82</v>
      </c>
      <c r="F154" s="361">
        <v>4980</v>
      </c>
      <c r="G154" s="362" t="s">
        <v>32</v>
      </c>
      <c r="H154" s="319"/>
      <c r="I154" s="319"/>
      <c r="J154" s="319"/>
      <c r="K154" s="319"/>
      <c r="L154" s="319"/>
      <c r="M154" s="319"/>
      <c r="N154" s="319"/>
      <c r="O154" s="319"/>
      <c r="P154" s="319"/>
      <c r="Q154" s="319"/>
      <c r="R154" s="362" t="s">
        <v>2221</v>
      </c>
      <c r="S154" s="362"/>
      <c r="T154" s="319" t="s">
        <v>1982</v>
      </c>
      <c r="U154" s="320"/>
    </row>
    <row r="155" spans="1:22" x14ac:dyDescent="0.3">
      <c r="A155" s="367"/>
      <c r="B155" s="367"/>
      <c r="C155" s="367"/>
      <c r="D155" s="367"/>
      <c r="E155" s="367"/>
      <c r="F155" s="367"/>
      <c r="G155" s="367"/>
      <c r="H155" s="367"/>
      <c r="I155" s="367"/>
      <c r="J155" s="367"/>
      <c r="K155" s="367"/>
      <c r="L155" s="367"/>
      <c r="M155" s="367"/>
      <c r="N155" s="367"/>
      <c r="O155" s="367"/>
      <c r="P155" s="367"/>
      <c r="Q155" s="367"/>
      <c r="R155" s="367"/>
      <c r="S155" s="367"/>
      <c r="T155" s="368"/>
      <c r="U155" s="368"/>
    </row>
    <row r="156" spans="1:22" ht="24.6" x14ac:dyDescent="0.3">
      <c r="A156" s="367"/>
      <c r="B156" s="61" t="s">
        <v>202</v>
      </c>
      <c r="C156" s="367"/>
      <c r="D156" s="367"/>
      <c r="E156" s="367"/>
      <c r="F156" s="367"/>
      <c r="G156" s="367"/>
      <c r="H156" s="367"/>
      <c r="I156" s="367"/>
      <c r="J156" s="367"/>
      <c r="K156" s="367"/>
      <c r="L156" s="367"/>
      <c r="M156" s="367"/>
      <c r="N156" s="367"/>
      <c r="O156" s="367"/>
      <c r="P156" s="367"/>
      <c r="Q156" s="367"/>
      <c r="R156" s="367"/>
      <c r="S156" s="367"/>
      <c r="T156" s="368"/>
      <c r="U156" s="368"/>
    </row>
    <row r="157" spans="1:22" x14ac:dyDescent="0.3">
      <c r="A157" s="367"/>
      <c r="B157" s="61" t="s">
        <v>203</v>
      </c>
      <c r="C157" s="367"/>
      <c r="D157" s="367"/>
      <c r="E157" s="367"/>
      <c r="F157" s="367"/>
      <c r="G157" s="367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8"/>
      <c r="U157" s="368"/>
    </row>
    <row r="158" spans="1:22" x14ac:dyDescent="0.3">
      <c r="A158" s="367"/>
      <c r="B158" s="61" t="s">
        <v>204</v>
      </c>
      <c r="C158" s="367"/>
      <c r="D158" s="367"/>
      <c r="E158" s="367"/>
      <c r="F158" s="367"/>
      <c r="G158" s="367"/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8"/>
      <c r="U158" s="368"/>
    </row>
    <row r="159" spans="1:22" ht="24.6" x14ac:dyDescent="0.3">
      <c r="A159" s="367"/>
      <c r="B159" s="61" t="s">
        <v>205</v>
      </c>
      <c r="C159" s="367"/>
      <c r="D159" s="367"/>
      <c r="E159" s="367"/>
      <c r="F159" s="369"/>
      <c r="G159" s="369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8"/>
      <c r="U159" s="368"/>
    </row>
    <row r="160" spans="1:22" x14ac:dyDescent="0.3">
      <c r="A160" s="367"/>
      <c r="B160" s="367"/>
      <c r="C160" s="367"/>
      <c r="D160" s="367"/>
      <c r="E160" s="367"/>
      <c r="F160" s="367"/>
      <c r="G160" s="367"/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8"/>
      <c r="U160" s="368"/>
    </row>
    <row r="161" spans="1:32" s="59" customFormat="1" ht="27.6" customHeight="1" x14ac:dyDescent="0.25">
      <c r="A161" s="509"/>
      <c r="B161" s="509"/>
      <c r="C161" s="512" t="s">
        <v>3985</v>
      </c>
      <c r="D161" s="543" t="s">
        <v>3986</v>
      </c>
      <c r="E161" s="543"/>
      <c r="F161" s="543"/>
      <c r="G161" s="509"/>
      <c r="H161" s="509"/>
      <c r="I161" s="509"/>
      <c r="J161" s="509"/>
      <c r="K161" s="509"/>
      <c r="L161" s="509"/>
      <c r="M161" s="509"/>
      <c r="N161" s="509"/>
      <c r="O161" s="509"/>
      <c r="P161" s="509"/>
      <c r="Q161" s="509"/>
      <c r="R161" s="509"/>
      <c r="S161" s="509"/>
      <c r="T161" s="509"/>
      <c r="U161" s="509"/>
      <c r="V161" s="509"/>
      <c r="W161" s="509"/>
      <c r="X161" s="509"/>
      <c r="Y161" s="509"/>
      <c r="Z161" s="509"/>
      <c r="AA161" s="509"/>
      <c r="AB161" s="509"/>
      <c r="AC161" s="509"/>
      <c r="AD161" s="509"/>
      <c r="AE161" s="510"/>
      <c r="AF161" s="510"/>
    </row>
    <row r="162" spans="1:32" s="59" customFormat="1" ht="13.8" x14ac:dyDescent="0.25">
      <c r="A162" s="509"/>
      <c r="B162" s="509"/>
      <c r="C162" s="509"/>
      <c r="D162" s="509"/>
      <c r="E162" s="509"/>
      <c r="F162" s="509"/>
      <c r="G162" s="509"/>
      <c r="H162" s="509"/>
      <c r="I162" s="509"/>
      <c r="J162" s="509"/>
      <c r="K162" s="509"/>
      <c r="L162" s="509"/>
      <c r="M162" s="509"/>
      <c r="N162" s="509"/>
      <c r="O162" s="509"/>
      <c r="P162" s="509"/>
      <c r="Q162" s="509"/>
      <c r="R162" s="509"/>
      <c r="S162" s="509"/>
      <c r="T162" s="509"/>
      <c r="U162" s="509"/>
      <c r="V162" s="509"/>
      <c r="W162" s="509"/>
      <c r="X162" s="509"/>
      <c r="Y162" s="509"/>
      <c r="Z162" s="509"/>
      <c r="AA162" s="509"/>
      <c r="AB162" s="509"/>
      <c r="AC162" s="509"/>
      <c r="AD162" s="509"/>
      <c r="AE162" s="510"/>
      <c r="AF162" s="510"/>
    </row>
    <row r="163" spans="1:32" s="59" customFormat="1" ht="13.8" x14ac:dyDescent="0.25">
      <c r="A163" s="509"/>
      <c r="B163" s="509"/>
      <c r="C163" s="509"/>
      <c r="D163" s="509"/>
      <c r="E163" s="509"/>
      <c r="F163" s="509"/>
      <c r="G163" s="509"/>
      <c r="H163" s="509"/>
      <c r="I163" s="509"/>
      <c r="J163" s="509"/>
      <c r="K163" s="509"/>
      <c r="L163" s="509"/>
      <c r="M163" s="509"/>
      <c r="N163" s="509"/>
      <c r="O163" s="509"/>
      <c r="P163" s="509"/>
      <c r="Q163" s="509"/>
      <c r="R163" s="509"/>
      <c r="S163" s="509"/>
      <c r="T163" s="509"/>
      <c r="U163" s="509"/>
      <c r="V163" s="509"/>
      <c r="W163" s="509"/>
      <c r="X163" s="509"/>
      <c r="Y163" s="509"/>
      <c r="Z163" s="509"/>
      <c r="AA163" s="509"/>
      <c r="AB163" s="509"/>
      <c r="AC163" s="509"/>
      <c r="AD163" s="509"/>
      <c r="AE163" s="417"/>
      <c r="AF163" s="510"/>
    </row>
    <row r="164" spans="1:32" s="59" customFormat="1" ht="13.8" x14ac:dyDescent="0.25">
      <c r="B164" s="60"/>
      <c r="C164" s="438" t="s">
        <v>3989</v>
      </c>
      <c r="D164" s="544" t="s">
        <v>3990</v>
      </c>
      <c r="E164" s="544"/>
      <c r="F164" s="544"/>
      <c r="G164" s="544"/>
      <c r="H164" s="544"/>
      <c r="I164" s="544"/>
      <c r="T164" s="60"/>
      <c r="U164" s="60"/>
    </row>
    <row r="165" spans="1:32" s="59" customFormat="1" ht="13.95" customHeight="1" x14ac:dyDescent="0.25">
      <c r="B165" s="60"/>
      <c r="C165" s="438" t="s">
        <v>3987</v>
      </c>
      <c r="D165" s="553" t="s">
        <v>3988</v>
      </c>
      <c r="E165" s="553"/>
      <c r="F165" s="553"/>
      <c r="G165" s="553"/>
      <c r="H165" s="553"/>
      <c r="I165" s="553"/>
      <c r="T165" s="60"/>
      <c r="U165" s="60"/>
    </row>
    <row r="166" spans="1:32" s="59" customFormat="1" ht="14.4" customHeight="1" x14ac:dyDescent="0.25">
      <c r="T166" s="60"/>
      <c r="U166" s="60"/>
    </row>
    <row r="167" spans="1:32" s="59" customFormat="1" ht="13.8" x14ac:dyDescent="0.25">
      <c r="A167" s="469"/>
      <c r="B167" s="743" t="s">
        <v>3984</v>
      </c>
      <c r="C167" s="743"/>
      <c r="D167" s="743"/>
      <c r="E167" s="743"/>
      <c r="F167" s="743"/>
      <c r="G167" s="743"/>
      <c r="H167" s="743"/>
      <c r="I167" s="743"/>
      <c r="T167" s="304"/>
      <c r="U167" s="304"/>
    </row>
  </sheetData>
  <mergeCells count="339">
    <mergeCell ref="D161:F161"/>
    <mergeCell ref="D164:I164"/>
    <mergeCell ref="D165:I165"/>
    <mergeCell ref="B167:I167"/>
    <mergeCell ref="T151:T153"/>
    <mergeCell ref="V151:V152"/>
    <mergeCell ref="A151:A153"/>
    <mergeCell ref="B151:B153"/>
    <mergeCell ref="E151:E153"/>
    <mergeCell ref="F151:F153"/>
    <mergeCell ref="G151:G153"/>
    <mergeCell ref="S151:S152"/>
    <mergeCell ref="T143:T145"/>
    <mergeCell ref="U143:U145"/>
    <mergeCell ref="A146:A149"/>
    <mergeCell ref="B146:B149"/>
    <mergeCell ref="E146:E149"/>
    <mergeCell ref="F146:F149"/>
    <mergeCell ref="G146:G149"/>
    <mergeCell ref="S146:S149"/>
    <mergeCell ref="T146:T149"/>
    <mergeCell ref="U146:U149"/>
    <mergeCell ref="A143:A145"/>
    <mergeCell ref="B143:B145"/>
    <mergeCell ref="E143:E145"/>
    <mergeCell ref="F143:F145"/>
    <mergeCell ref="G143:G145"/>
    <mergeCell ref="S143:S145"/>
    <mergeCell ref="T133:T139"/>
    <mergeCell ref="U133:U139"/>
    <mergeCell ref="A140:A142"/>
    <mergeCell ref="B140:B142"/>
    <mergeCell ref="E140:E142"/>
    <mergeCell ref="F140:F142"/>
    <mergeCell ref="G140:G142"/>
    <mergeCell ref="S140:S142"/>
    <mergeCell ref="T140:T142"/>
    <mergeCell ref="U140:U142"/>
    <mergeCell ref="A133:A139"/>
    <mergeCell ref="B133:B139"/>
    <mergeCell ref="E133:E139"/>
    <mergeCell ref="F133:F139"/>
    <mergeCell ref="G133:G139"/>
    <mergeCell ref="S133:S139"/>
    <mergeCell ref="T123:T125"/>
    <mergeCell ref="U123:U125"/>
    <mergeCell ref="A126:A132"/>
    <mergeCell ref="B126:B132"/>
    <mergeCell ref="E126:E132"/>
    <mergeCell ref="F126:F132"/>
    <mergeCell ref="G126:G132"/>
    <mergeCell ref="S126:S132"/>
    <mergeCell ref="T126:T132"/>
    <mergeCell ref="U126:U132"/>
    <mergeCell ref="A123:A125"/>
    <mergeCell ref="B123:B125"/>
    <mergeCell ref="E123:E125"/>
    <mergeCell ref="F123:F125"/>
    <mergeCell ref="G123:G125"/>
    <mergeCell ref="S123:S125"/>
    <mergeCell ref="T112:T113"/>
    <mergeCell ref="U112:U113"/>
    <mergeCell ref="A114:A122"/>
    <mergeCell ref="B114:B122"/>
    <mergeCell ref="E114:E122"/>
    <mergeCell ref="F114:F122"/>
    <mergeCell ref="G114:G122"/>
    <mergeCell ref="S114:S122"/>
    <mergeCell ref="T114:T122"/>
    <mergeCell ref="U114:U122"/>
    <mergeCell ref="A112:A113"/>
    <mergeCell ref="B112:B113"/>
    <mergeCell ref="E112:E113"/>
    <mergeCell ref="F112:F113"/>
    <mergeCell ref="G112:G113"/>
    <mergeCell ref="S112:S113"/>
    <mergeCell ref="P110:P111"/>
    <mergeCell ref="Q110:Q111"/>
    <mergeCell ref="R110:R111"/>
    <mergeCell ref="S110:S111"/>
    <mergeCell ref="T110:T111"/>
    <mergeCell ref="U110:U111"/>
    <mergeCell ref="J110:J111"/>
    <mergeCell ref="K110:K111"/>
    <mergeCell ref="L110:L111"/>
    <mergeCell ref="M110:M111"/>
    <mergeCell ref="N110:N111"/>
    <mergeCell ref="O110:O111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T104:T106"/>
    <mergeCell ref="U104:U106"/>
    <mergeCell ref="A108:A109"/>
    <mergeCell ref="B108:B109"/>
    <mergeCell ref="E108:E109"/>
    <mergeCell ref="F108:F109"/>
    <mergeCell ref="G108:G109"/>
    <mergeCell ref="R108:R109"/>
    <mergeCell ref="S108:S109"/>
    <mergeCell ref="T108:T109"/>
    <mergeCell ref="A104:A106"/>
    <mergeCell ref="B104:B106"/>
    <mergeCell ref="E104:E106"/>
    <mergeCell ref="F104:F106"/>
    <mergeCell ref="G104:G106"/>
    <mergeCell ref="S104:S106"/>
    <mergeCell ref="U108:U109"/>
    <mergeCell ref="T98:T101"/>
    <mergeCell ref="U98:U101"/>
    <mergeCell ref="A102:A103"/>
    <mergeCell ref="B102:B103"/>
    <mergeCell ref="E102:E103"/>
    <mergeCell ref="F102:F103"/>
    <mergeCell ref="G102:G103"/>
    <mergeCell ref="S102:S103"/>
    <mergeCell ref="T102:T103"/>
    <mergeCell ref="U102:U103"/>
    <mergeCell ref="A98:A101"/>
    <mergeCell ref="B98:B101"/>
    <mergeCell ref="E98:E101"/>
    <mergeCell ref="F98:F101"/>
    <mergeCell ref="G98:G101"/>
    <mergeCell ref="S98:S101"/>
    <mergeCell ref="T92:T93"/>
    <mergeCell ref="U92:U93"/>
    <mergeCell ref="A95:A97"/>
    <mergeCell ref="B95:B97"/>
    <mergeCell ref="E95:E97"/>
    <mergeCell ref="F95:F97"/>
    <mergeCell ref="G95:G97"/>
    <mergeCell ref="S95:S97"/>
    <mergeCell ref="T95:T97"/>
    <mergeCell ref="U95:U97"/>
    <mergeCell ref="A92:A93"/>
    <mergeCell ref="B92:B93"/>
    <mergeCell ref="E92:E93"/>
    <mergeCell ref="F92:F93"/>
    <mergeCell ref="G92:G93"/>
    <mergeCell ref="S92:S93"/>
    <mergeCell ref="T80:T82"/>
    <mergeCell ref="U80:U82"/>
    <mergeCell ref="A87:A90"/>
    <mergeCell ref="B87:B90"/>
    <mergeCell ref="E87:E90"/>
    <mergeCell ref="F87:F90"/>
    <mergeCell ref="G87:G90"/>
    <mergeCell ref="S87:S90"/>
    <mergeCell ref="T87:T90"/>
    <mergeCell ref="U87:U90"/>
    <mergeCell ref="A80:A82"/>
    <mergeCell ref="B80:B82"/>
    <mergeCell ref="E80:E82"/>
    <mergeCell ref="F80:F82"/>
    <mergeCell ref="G80:G82"/>
    <mergeCell ref="S80:S82"/>
    <mergeCell ref="T68:T74"/>
    <mergeCell ref="U68:U74"/>
    <mergeCell ref="A76:A79"/>
    <mergeCell ref="B76:B79"/>
    <mergeCell ref="E76:E79"/>
    <mergeCell ref="F76:F79"/>
    <mergeCell ref="G76:G79"/>
    <mergeCell ref="S76:S79"/>
    <mergeCell ref="T76:T79"/>
    <mergeCell ref="U76:U79"/>
    <mergeCell ref="A68:A74"/>
    <mergeCell ref="B68:B74"/>
    <mergeCell ref="E68:E74"/>
    <mergeCell ref="F68:F74"/>
    <mergeCell ref="G68:G74"/>
    <mergeCell ref="S68:S74"/>
    <mergeCell ref="T58:T63"/>
    <mergeCell ref="U58:U63"/>
    <mergeCell ref="A64:A67"/>
    <mergeCell ref="B64:B67"/>
    <mergeCell ref="E64:E67"/>
    <mergeCell ref="F64:F67"/>
    <mergeCell ref="G64:G67"/>
    <mergeCell ref="S64:S67"/>
    <mergeCell ref="T64:T67"/>
    <mergeCell ref="U64:U67"/>
    <mergeCell ref="A58:A63"/>
    <mergeCell ref="B58:B63"/>
    <mergeCell ref="E58:E63"/>
    <mergeCell ref="F58:F63"/>
    <mergeCell ref="G58:G63"/>
    <mergeCell ref="S58:S63"/>
    <mergeCell ref="T47:T49"/>
    <mergeCell ref="U47:U49"/>
    <mergeCell ref="A51:A56"/>
    <mergeCell ref="B51:B56"/>
    <mergeCell ref="E51:E56"/>
    <mergeCell ref="F51:F56"/>
    <mergeCell ref="G51:G56"/>
    <mergeCell ref="S51:S56"/>
    <mergeCell ref="T51:T56"/>
    <mergeCell ref="U51:U56"/>
    <mergeCell ref="A47:A49"/>
    <mergeCell ref="B47:B49"/>
    <mergeCell ref="E47:E49"/>
    <mergeCell ref="F47:F49"/>
    <mergeCell ref="G47:G49"/>
    <mergeCell ref="S47:S49"/>
    <mergeCell ref="T42:T44"/>
    <mergeCell ref="U42:U44"/>
    <mergeCell ref="A45:A46"/>
    <mergeCell ref="B45:B46"/>
    <mergeCell ref="E45:E46"/>
    <mergeCell ref="F45:F46"/>
    <mergeCell ref="G45:G46"/>
    <mergeCell ref="S45:S46"/>
    <mergeCell ref="T45:T46"/>
    <mergeCell ref="U45:U46"/>
    <mergeCell ref="A42:A44"/>
    <mergeCell ref="B42:B44"/>
    <mergeCell ref="E42:E44"/>
    <mergeCell ref="F42:F44"/>
    <mergeCell ref="G42:G44"/>
    <mergeCell ref="S42:S44"/>
    <mergeCell ref="A39:A41"/>
    <mergeCell ref="B39:B41"/>
    <mergeCell ref="E39:E41"/>
    <mergeCell ref="S39:S41"/>
    <mergeCell ref="T39:T41"/>
    <mergeCell ref="U39:U41"/>
    <mergeCell ref="F40:F41"/>
    <mergeCell ref="G40:G41"/>
    <mergeCell ref="O33:O38"/>
    <mergeCell ref="P33:P38"/>
    <mergeCell ref="Q33:Q38"/>
    <mergeCell ref="S33:S38"/>
    <mergeCell ref="T33:T38"/>
    <mergeCell ref="U33:U38"/>
    <mergeCell ref="R35:R37"/>
    <mergeCell ref="I33:I38"/>
    <mergeCell ref="J33:J38"/>
    <mergeCell ref="K33:K38"/>
    <mergeCell ref="L33:L38"/>
    <mergeCell ref="M33:M38"/>
    <mergeCell ref="N33:N38"/>
    <mergeCell ref="A33:A38"/>
    <mergeCell ref="B33:B38"/>
    <mergeCell ref="E33:E38"/>
    <mergeCell ref="F33:F38"/>
    <mergeCell ref="G33:G38"/>
    <mergeCell ref="H33:H38"/>
    <mergeCell ref="C35:C37"/>
    <mergeCell ref="D35:D37"/>
    <mergeCell ref="T29:T30"/>
    <mergeCell ref="U29:U30"/>
    <mergeCell ref="A31:A32"/>
    <mergeCell ref="B31:B32"/>
    <mergeCell ref="E31:E32"/>
    <mergeCell ref="F31:F32"/>
    <mergeCell ref="G31:G32"/>
    <mergeCell ref="S31:S32"/>
    <mergeCell ref="T31:T32"/>
    <mergeCell ref="U31:U32"/>
    <mergeCell ref="A29:A30"/>
    <mergeCell ref="B29:B30"/>
    <mergeCell ref="E29:E30"/>
    <mergeCell ref="F29:F30"/>
    <mergeCell ref="G29:G30"/>
    <mergeCell ref="S29:S30"/>
    <mergeCell ref="U26:U28"/>
    <mergeCell ref="F27:F28"/>
    <mergeCell ref="G27:G28"/>
    <mergeCell ref="H27:H28"/>
    <mergeCell ref="I27:I28"/>
    <mergeCell ref="J27:J28"/>
    <mergeCell ref="K27:K28"/>
    <mergeCell ref="L27:L28"/>
    <mergeCell ref="M27:M28"/>
    <mergeCell ref="N27:N28"/>
    <mergeCell ref="A26:A28"/>
    <mergeCell ref="B26:B28"/>
    <mergeCell ref="E26:E28"/>
    <mergeCell ref="R26:R27"/>
    <mergeCell ref="S26:S28"/>
    <mergeCell ref="T26:T28"/>
    <mergeCell ref="O27:O28"/>
    <mergeCell ref="P27:P28"/>
    <mergeCell ref="Q27:Q28"/>
    <mergeCell ref="U16:U17"/>
    <mergeCell ref="A24:A25"/>
    <mergeCell ref="B24:B25"/>
    <mergeCell ref="E24:E25"/>
    <mergeCell ref="S24:S25"/>
    <mergeCell ref="T24:T25"/>
    <mergeCell ref="U24:U25"/>
    <mergeCell ref="A16:A17"/>
    <mergeCell ref="B16:B17"/>
    <mergeCell ref="E16:E17"/>
    <mergeCell ref="R16:R17"/>
    <mergeCell ref="S16:S17"/>
    <mergeCell ref="T16:T17"/>
    <mergeCell ref="R7:R11"/>
    <mergeCell ref="S7:S11"/>
    <mergeCell ref="T7:T11"/>
    <mergeCell ref="U7:U11"/>
    <mergeCell ref="N4:N5"/>
    <mergeCell ref="O4:O5"/>
    <mergeCell ref="P4:P5"/>
    <mergeCell ref="Q4:Q5"/>
    <mergeCell ref="R4:R5"/>
    <mergeCell ref="A7:A11"/>
    <mergeCell ref="B7:B11"/>
    <mergeCell ref="C7:C11"/>
    <mergeCell ref="D7:D11"/>
    <mergeCell ref="E7:E11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F7:F11"/>
    <mergeCell ref="G7:G11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BBC3E-B99C-45F1-9F36-104B50AAC1CA}">
  <dimension ref="A1:AF54"/>
  <sheetViews>
    <sheetView workbookViewId="0">
      <selection activeCell="W5" sqref="W5"/>
    </sheetView>
  </sheetViews>
  <sheetFormatPr defaultColWidth="9" defaultRowHeight="13.8" x14ac:dyDescent="0.25"/>
  <cols>
    <col min="1" max="1" width="24.44140625" style="59" customWidth="1"/>
    <col min="2" max="2" width="30.44140625" style="59" customWidth="1"/>
    <col min="3" max="3" width="10.6640625" style="59" customWidth="1"/>
    <col min="4" max="5" width="9" style="59"/>
    <col min="6" max="6" width="11.33203125" style="59" customWidth="1"/>
    <col min="7" max="7" width="9" style="59"/>
    <col min="8" max="8" width="12.6640625" style="59" customWidth="1"/>
    <col min="9" max="9" width="15.6640625" style="59" customWidth="1"/>
    <col min="10" max="10" width="12" style="59" customWidth="1"/>
    <col min="11" max="11" width="9" style="59"/>
    <col min="12" max="12" width="12.6640625" style="59" customWidth="1"/>
    <col min="13" max="13" width="13.44140625" style="59" customWidth="1"/>
    <col min="14" max="14" width="15" style="59" customWidth="1"/>
    <col min="15" max="15" width="12.6640625" style="59" customWidth="1"/>
    <col min="16" max="17" width="9" style="59"/>
    <col min="18" max="18" width="16.33203125" style="59" customWidth="1"/>
    <col min="19" max="20" width="19" style="59" customWidth="1"/>
    <col min="21" max="21" width="18" style="59" customWidth="1"/>
    <col min="22" max="16384" width="9" style="59"/>
  </cols>
  <sheetData>
    <row r="1" spans="1:21" ht="18" thickBot="1" x14ac:dyDescent="0.3">
      <c r="A1" s="1083" t="s">
        <v>2222</v>
      </c>
      <c r="B1" s="1083"/>
      <c r="C1" s="1083"/>
      <c r="D1" s="1083"/>
      <c r="E1" s="1083"/>
      <c r="F1" s="1083"/>
      <c r="G1" s="1083"/>
      <c r="H1" s="1083"/>
      <c r="I1" s="1083"/>
      <c r="J1" s="1083"/>
      <c r="K1" s="1083"/>
      <c r="L1" s="1083"/>
      <c r="M1" s="1083"/>
      <c r="N1" s="1083"/>
      <c r="O1" s="1083"/>
      <c r="P1" s="1083"/>
      <c r="Q1" s="1083"/>
      <c r="R1" s="1083"/>
      <c r="S1" s="1083"/>
      <c r="T1" s="1083"/>
      <c r="U1" s="1083"/>
    </row>
    <row r="2" spans="1:21" s="304" customFormat="1" ht="14.4" thickBot="1" x14ac:dyDescent="0.35">
      <c r="A2" s="603" t="s">
        <v>1</v>
      </c>
      <c r="B2" s="603" t="s">
        <v>2</v>
      </c>
      <c r="C2" s="625" t="s">
        <v>3</v>
      </c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9"/>
      <c r="R2" s="603" t="s">
        <v>4</v>
      </c>
      <c r="S2" s="628" t="s">
        <v>5</v>
      </c>
      <c r="T2" s="587" t="s">
        <v>207</v>
      </c>
      <c r="U2" s="957" t="s">
        <v>7</v>
      </c>
    </row>
    <row r="3" spans="1:21" s="304" customFormat="1" ht="36" customHeight="1" thickBot="1" x14ac:dyDescent="0.35">
      <c r="A3" s="593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s="304" customFormat="1" ht="14.4" thickBot="1" x14ac:dyDescent="0.35">
      <c r="A4" s="593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s="304" customFormat="1" ht="57.6" customHeight="1" thickBot="1" x14ac:dyDescent="0.35">
      <c r="A5" s="593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s="304" customFormat="1" ht="14.4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x14ac:dyDescent="0.25">
      <c r="A7" s="1000" t="s">
        <v>2223</v>
      </c>
      <c r="B7" s="618" t="s">
        <v>1708</v>
      </c>
      <c r="C7" s="79">
        <v>0</v>
      </c>
      <c r="D7" s="79">
        <v>0.7</v>
      </c>
      <c r="E7" s="998">
        <v>0.91</v>
      </c>
      <c r="F7" s="999">
        <v>2380</v>
      </c>
      <c r="G7" s="632" t="s">
        <v>51</v>
      </c>
      <c r="H7" s="1088"/>
      <c r="I7" s="1088"/>
      <c r="J7" s="632"/>
      <c r="K7" s="632"/>
      <c r="L7" s="632"/>
      <c r="M7" s="632"/>
      <c r="N7" s="632" t="s">
        <v>161</v>
      </c>
      <c r="O7" s="632"/>
      <c r="P7" s="632">
        <v>9765</v>
      </c>
      <c r="Q7" s="632">
        <v>0.65100000000000002</v>
      </c>
      <c r="R7" s="1086">
        <v>70660020095</v>
      </c>
      <c r="S7" s="620" t="s">
        <v>2224</v>
      </c>
      <c r="T7" s="632" t="s">
        <v>2225</v>
      </c>
      <c r="U7" s="749"/>
    </row>
    <row r="8" spans="1:21" x14ac:dyDescent="0.25">
      <c r="A8" s="742"/>
      <c r="B8" s="608"/>
      <c r="C8" s="48">
        <v>0.7</v>
      </c>
      <c r="D8" s="48">
        <v>0.73</v>
      </c>
      <c r="E8" s="654"/>
      <c r="F8" s="655"/>
      <c r="G8" s="633"/>
      <c r="H8" s="653"/>
      <c r="I8" s="653"/>
      <c r="J8" s="633"/>
      <c r="K8" s="633"/>
      <c r="L8" s="633"/>
      <c r="M8" s="633"/>
      <c r="N8" s="633"/>
      <c r="O8" s="633"/>
      <c r="P8" s="633"/>
      <c r="Q8" s="633"/>
      <c r="R8" s="1085"/>
      <c r="S8" s="621"/>
      <c r="T8" s="633"/>
      <c r="U8" s="750"/>
    </row>
    <row r="9" spans="1:21" x14ac:dyDescent="0.25">
      <c r="A9" s="742"/>
      <c r="B9" s="608"/>
      <c r="C9" s="48">
        <v>0.73</v>
      </c>
      <c r="D9" s="48">
        <v>0.76</v>
      </c>
      <c r="E9" s="654"/>
      <c r="F9" s="655"/>
      <c r="G9" s="633"/>
      <c r="H9" s="653"/>
      <c r="I9" s="653"/>
      <c r="J9" s="633"/>
      <c r="K9" s="633"/>
      <c r="L9" s="633"/>
      <c r="M9" s="633"/>
      <c r="N9" s="633"/>
      <c r="O9" s="633"/>
      <c r="P9" s="633"/>
      <c r="Q9" s="633"/>
      <c r="R9" s="1085"/>
      <c r="S9" s="621"/>
      <c r="T9" s="633"/>
      <c r="U9" s="750"/>
    </row>
    <row r="10" spans="1:21" x14ac:dyDescent="0.25">
      <c r="A10" s="742"/>
      <c r="B10" s="608"/>
      <c r="C10" s="48">
        <v>0.76</v>
      </c>
      <c r="D10" s="48">
        <v>0.8</v>
      </c>
      <c r="E10" s="654"/>
      <c r="F10" s="655"/>
      <c r="G10" s="633"/>
      <c r="H10" s="653"/>
      <c r="I10" s="653"/>
      <c r="J10" s="633"/>
      <c r="K10" s="633"/>
      <c r="L10" s="633"/>
      <c r="M10" s="633"/>
      <c r="N10" s="633"/>
      <c r="O10" s="633"/>
      <c r="P10" s="633"/>
      <c r="Q10" s="633"/>
      <c r="R10" s="1085"/>
      <c r="S10" s="621"/>
      <c r="T10" s="633"/>
      <c r="U10" s="750"/>
    </row>
    <row r="11" spans="1:21" ht="14.4" thickBot="1" x14ac:dyDescent="0.3">
      <c r="A11" s="689"/>
      <c r="B11" s="609"/>
      <c r="C11" s="46">
        <v>0.8</v>
      </c>
      <c r="D11" s="46">
        <v>0.91</v>
      </c>
      <c r="E11" s="646"/>
      <c r="F11" s="47">
        <v>1920</v>
      </c>
      <c r="G11" s="20" t="s">
        <v>32</v>
      </c>
      <c r="H11" s="650"/>
      <c r="I11" s="650"/>
      <c r="J11" s="634"/>
      <c r="K11" s="634"/>
      <c r="L11" s="634"/>
      <c r="M11" s="634"/>
      <c r="N11" s="634"/>
      <c r="O11" s="634"/>
      <c r="P11" s="634"/>
      <c r="Q11" s="634"/>
      <c r="R11" s="1087"/>
      <c r="S11" s="631"/>
      <c r="T11" s="634"/>
      <c r="U11" s="745"/>
    </row>
    <row r="12" spans="1:21" x14ac:dyDescent="0.25">
      <c r="A12" s="643" t="s">
        <v>2226</v>
      </c>
      <c r="B12" s="607" t="s">
        <v>2227</v>
      </c>
      <c r="C12" s="43">
        <v>0</v>
      </c>
      <c r="D12" s="43">
        <v>0.55000000000000004</v>
      </c>
      <c r="E12" s="694">
        <v>0.62</v>
      </c>
      <c r="F12" s="647">
        <v>2408</v>
      </c>
      <c r="G12" s="641" t="s">
        <v>51</v>
      </c>
      <c r="H12" s="32"/>
      <c r="I12" s="100"/>
      <c r="J12" s="34"/>
      <c r="K12" s="34"/>
      <c r="L12" s="34"/>
      <c r="M12" s="34"/>
      <c r="N12" s="34"/>
      <c r="O12" s="34"/>
      <c r="P12" s="34"/>
      <c r="Q12" s="34"/>
      <c r="R12" s="1084">
        <v>70660020096</v>
      </c>
      <c r="S12" s="640" t="s">
        <v>2224</v>
      </c>
      <c r="T12" s="641" t="s">
        <v>2225</v>
      </c>
      <c r="U12" s="642"/>
    </row>
    <row r="13" spans="1:21" x14ac:dyDescent="0.25">
      <c r="A13" s="742"/>
      <c r="B13" s="608"/>
      <c r="C13" s="48">
        <v>0.55000000000000004</v>
      </c>
      <c r="D13" s="48">
        <v>0.56999999999999995</v>
      </c>
      <c r="E13" s="695"/>
      <c r="F13" s="655"/>
      <c r="G13" s="633"/>
      <c r="H13" s="12"/>
      <c r="I13" s="101"/>
      <c r="J13" s="13"/>
      <c r="K13" s="13"/>
      <c r="L13" s="13"/>
      <c r="M13" s="13"/>
      <c r="N13" s="13"/>
      <c r="O13" s="13"/>
      <c r="P13" s="13"/>
      <c r="Q13" s="13"/>
      <c r="R13" s="1085"/>
      <c r="S13" s="621"/>
      <c r="T13" s="633"/>
      <c r="U13" s="636"/>
    </row>
    <row r="14" spans="1:21" x14ac:dyDescent="0.25">
      <c r="A14" s="742"/>
      <c r="B14" s="608"/>
      <c r="C14" s="48">
        <v>0.56999999999999995</v>
      </c>
      <c r="D14" s="48">
        <v>0.6</v>
      </c>
      <c r="E14" s="695"/>
      <c r="F14" s="655"/>
      <c r="G14" s="633"/>
      <c r="H14" s="12"/>
      <c r="I14" s="101"/>
      <c r="J14" s="13"/>
      <c r="K14" s="13"/>
      <c r="L14" s="13"/>
      <c r="M14" s="13"/>
      <c r="N14" s="13"/>
      <c r="O14" s="13"/>
      <c r="P14" s="13"/>
      <c r="Q14" s="13"/>
      <c r="R14" s="373" t="s">
        <v>2228</v>
      </c>
      <c r="S14" s="621"/>
      <c r="T14" s="633"/>
      <c r="U14" s="636"/>
    </row>
    <row r="15" spans="1:21" ht="32.4" customHeight="1" thickBot="1" x14ac:dyDescent="0.3">
      <c r="A15" s="644"/>
      <c r="B15" s="609"/>
      <c r="C15" s="46">
        <v>0.6</v>
      </c>
      <c r="D15" s="46">
        <v>0.62</v>
      </c>
      <c r="E15" s="696"/>
      <c r="F15" s="47">
        <v>230</v>
      </c>
      <c r="G15" s="20" t="s">
        <v>32</v>
      </c>
      <c r="H15" s="18"/>
      <c r="I15" s="102"/>
      <c r="J15" s="19"/>
      <c r="K15" s="19"/>
      <c r="L15" s="19"/>
      <c r="M15" s="19"/>
      <c r="N15" s="19"/>
      <c r="O15" s="19"/>
      <c r="P15" s="19"/>
      <c r="Q15" s="19"/>
      <c r="R15" s="374" t="s">
        <v>2228</v>
      </c>
      <c r="S15" s="631"/>
      <c r="T15" s="634"/>
      <c r="U15" s="637"/>
    </row>
    <row r="16" spans="1:21" ht="60.6" thickBot="1" x14ac:dyDescent="0.3">
      <c r="A16" s="22" t="s">
        <v>2229</v>
      </c>
      <c r="B16" s="305" t="s">
        <v>247</v>
      </c>
      <c r="C16" s="24">
        <v>0</v>
      </c>
      <c r="D16" s="24">
        <v>0.16</v>
      </c>
      <c r="E16" s="24">
        <v>0.16</v>
      </c>
      <c r="F16" s="25">
        <v>775</v>
      </c>
      <c r="G16" s="27" t="s">
        <v>32</v>
      </c>
      <c r="H16" s="26"/>
      <c r="I16" s="27"/>
      <c r="J16" s="27"/>
      <c r="K16" s="27"/>
      <c r="L16" s="27"/>
      <c r="M16" s="27"/>
      <c r="N16" s="27"/>
      <c r="O16" s="27"/>
      <c r="P16" s="27"/>
      <c r="Q16" s="27"/>
      <c r="R16" s="376">
        <v>70660020177</v>
      </c>
      <c r="S16" s="27" t="s">
        <v>2224</v>
      </c>
      <c r="T16" s="3" t="s">
        <v>2225</v>
      </c>
      <c r="U16" s="5"/>
    </row>
    <row r="17" spans="1:26" x14ac:dyDescent="0.25">
      <c r="A17" s="604" t="s">
        <v>2230</v>
      </c>
      <c r="B17" s="963" t="s">
        <v>2231</v>
      </c>
      <c r="C17" s="30">
        <v>0</v>
      </c>
      <c r="D17" s="30">
        <v>0.41</v>
      </c>
      <c r="E17" s="610">
        <v>0.48</v>
      </c>
      <c r="F17" s="31">
        <v>2365</v>
      </c>
      <c r="G17" s="34" t="s">
        <v>51</v>
      </c>
      <c r="H17" s="615"/>
      <c r="I17" s="640"/>
      <c r="J17" s="640"/>
      <c r="K17" s="640"/>
      <c r="L17" s="640"/>
      <c r="M17" s="640"/>
      <c r="N17" s="640"/>
      <c r="O17" s="640"/>
      <c r="P17" s="640"/>
      <c r="Q17" s="640"/>
      <c r="R17" s="1089">
        <v>70660020081</v>
      </c>
      <c r="S17" s="640" t="s">
        <v>2224</v>
      </c>
      <c r="T17" s="641" t="s">
        <v>2225</v>
      </c>
      <c r="U17" s="744"/>
    </row>
    <row r="18" spans="1:26" ht="58.2" customHeight="1" thickBot="1" x14ac:dyDescent="0.3">
      <c r="A18" s="606"/>
      <c r="B18" s="964"/>
      <c r="C18" s="16">
        <v>0.41</v>
      </c>
      <c r="D18" s="16">
        <v>0.48</v>
      </c>
      <c r="E18" s="612"/>
      <c r="F18" s="17">
        <v>200</v>
      </c>
      <c r="G18" s="19" t="s">
        <v>32</v>
      </c>
      <c r="H18" s="639"/>
      <c r="I18" s="631"/>
      <c r="J18" s="631"/>
      <c r="K18" s="631"/>
      <c r="L18" s="631"/>
      <c r="M18" s="631"/>
      <c r="N18" s="631"/>
      <c r="O18" s="631"/>
      <c r="P18" s="631"/>
      <c r="Q18" s="631"/>
      <c r="R18" s="1090"/>
      <c r="S18" s="631"/>
      <c r="T18" s="634"/>
      <c r="U18" s="745"/>
    </row>
    <row r="19" spans="1:26" x14ac:dyDescent="0.25">
      <c r="A19" s="643" t="s">
        <v>2232</v>
      </c>
      <c r="B19" s="607" t="s">
        <v>2233</v>
      </c>
      <c r="C19" s="43">
        <v>0</v>
      </c>
      <c r="D19" s="43">
        <v>2.38</v>
      </c>
      <c r="E19" s="645">
        <v>2.48</v>
      </c>
      <c r="F19" s="647">
        <v>15280</v>
      </c>
      <c r="G19" s="641" t="s">
        <v>51</v>
      </c>
      <c r="H19" s="32"/>
      <c r="I19" s="34"/>
      <c r="J19" s="34"/>
      <c r="K19" s="34"/>
      <c r="L19" s="34"/>
      <c r="M19" s="34"/>
      <c r="N19" s="34"/>
      <c r="O19" s="34"/>
      <c r="P19" s="34"/>
      <c r="Q19" s="33"/>
      <c r="R19" s="375" t="s">
        <v>2234</v>
      </c>
      <c r="S19" s="640" t="s">
        <v>2224</v>
      </c>
      <c r="T19" s="641" t="s">
        <v>2225</v>
      </c>
      <c r="U19" s="642"/>
    </row>
    <row r="20" spans="1:26" ht="59.4" customHeight="1" thickBot="1" x14ac:dyDescent="0.3">
      <c r="A20" s="644"/>
      <c r="B20" s="609"/>
      <c r="C20" s="46">
        <v>2.38</v>
      </c>
      <c r="D20" s="46">
        <v>2.48</v>
      </c>
      <c r="E20" s="646"/>
      <c r="F20" s="648"/>
      <c r="G20" s="634"/>
      <c r="H20" s="18"/>
      <c r="I20" s="19"/>
      <c r="J20" s="19"/>
      <c r="K20" s="19"/>
      <c r="L20" s="19"/>
      <c r="M20" s="19"/>
      <c r="N20" s="19"/>
      <c r="O20" s="19"/>
      <c r="P20" s="19"/>
      <c r="Q20" s="20"/>
      <c r="R20" s="374" t="s">
        <v>2235</v>
      </c>
      <c r="S20" s="631"/>
      <c r="T20" s="634"/>
      <c r="U20" s="637"/>
      <c r="Z20" s="379"/>
    </row>
    <row r="21" spans="1:26" ht="48.6" thickBot="1" x14ac:dyDescent="0.3">
      <c r="A21" s="22" t="s">
        <v>2236</v>
      </c>
      <c r="B21" s="23" t="s">
        <v>2237</v>
      </c>
      <c r="C21" s="41">
        <v>0</v>
      </c>
      <c r="D21" s="41">
        <v>0.24</v>
      </c>
      <c r="E21" s="41">
        <v>0.24</v>
      </c>
      <c r="F21" s="4">
        <v>1715</v>
      </c>
      <c r="G21" s="3" t="s">
        <v>51</v>
      </c>
      <c r="H21" s="26"/>
      <c r="I21" s="27"/>
      <c r="J21" s="27"/>
      <c r="K21" s="27"/>
      <c r="L21" s="27"/>
      <c r="M21" s="27"/>
      <c r="N21" s="27"/>
      <c r="O21" s="27"/>
      <c r="P21" s="27"/>
      <c r="Q21" s="27"/>
      <c r="R21" s="380" t="s">
        <v>2238</v>
      </c>
      <c r="S21" s="27" t="s">
        <v>2224</v>
      </c>
      <c r="T21" s="3" t="s">
        <v>2239</v>
      </c>
      <c r="U21" s="5" t="s">
        <v>1215</v>
      </c>
    </row>
    <row r="22" spans="1:26" ht="36" x14ac:dyDescent="0.25">
      <c r="A22" s="604" t="s">
        <v>2240</v>
      </c>
      <c r="B22" s="607" t="s">
        <v>1597</v>
      </c>
      <c r="C22" s="43">
        <v>0</v>
      </c>
      <c r="D22" s="43">
        <v>0.26</v>
      </c>
      <c r="E22" s="645">
        <v>0.59</v>
      </c>
      <c r="F22" s="44">
        <v>945</v>
      </c>
      <c r="G22" s="33" t="s">
        <v>51</v>
      </c>
      <c r="H22" s="32"/>
      <c r="I22" s="34"/>
      <c r="J22" s="34"/>
      <c r="K22" s="34"/>
      <c r="L22" s="34"/>
      <c r="M22" s="34"/>
      <c r="N22" s="34"/>
      <c r="O22" s="34"/>
      <c r="P22" s="34"/>
      <c r="Q22" s="34"/>
      <c r="R22" s="375" t="s">
        <v>2241</v>
      </c>
      <c r="S22" s="640" t="s">
        <v>2224</v>
      </c>
      <c r="T22" s="641" t="s">
        <v>2225</v>
      </c>
      <c r="U22" s="642"/>
      <c r="Z22" s="1091"/>
    </row>
    <row r="23" spans="1:26" ht="36" x14ac:dyDescent="0.25">
      <c r="A23" s="605"/>
      <c r="B23" s="608"/>
      <c r="C23" s="48">
        <v>0.26</v>
      </c>
      <c r="D23" s="48">
        <v>0.32</v>
      </c>
      <c r="E23" s="654"/>
      <c r="F23" s="49">
        <v>320</v>
      </c>
      <c r="G23" s="14" t="s">
        <v>51</v>
      </c>
      <c r="H23" s="12"/>
      <c r="I23" s="13"/>
      <c r="J23" s="13"/>
      <c r="K23" s="13"/>
      <c r="L23" s="13"/>
      <c r="M23" s="13"/>
      <c r="N23" s="13"/>
      <c r="O23" s="13"/>
      <c r="P23" s="13"/>
      <c r="Q23" s="13"/>
      <c r="R23" s="373" t="s">
        <v>2242</v>
      </c>
      <c r="S23" s="621"/>
      <c r="T23" s="633"/>
      <c r="U23" s="636"/>
      <c r="Z23" s="1091"/>
    </row>
    <row r="24" spans="1:26" ht="24" x14ac:dyDescent="0.25">
      <c r="A24" s="605"/>
      <c r="B24" s="608"/>
      <c r="C24" s="48">
        <v>0.32</v>
      </c>
      <c r="D24" s="48">
        <v>0.46</v>
      </c>
      <c r="E24" s="654"/>
      <c r="F24" s="49">
        <v>572</v>
      </c>
      <c r="G24" s="14" t="s">
        <v>51</v>
      </c>
      <c r="H24" s="12"/>
      <c r="I24" s="13"/>
      <c r="J24" s="13"/>
      <c r="K24" s="13"/>
      <c r="L24" s="13"/>
      <c r="M24" s="13"/>
      <c r="N24" s="13"/>
      <c r="O24" s="13"/>
      <c r="P24" s="13"/>
      <c r="Q24" s="13"/>
      <c r="R24" s="373" t="s">
        <v>2243</v>
      </c>
      <c r="S24" s="621"/>
      <c r="T24" s="633"/>
      <c r="U24" s="636"/>
      <c r="Z24" s="1091"/>
    </row>
    <row r="25" spans="1:26" x14ac:dyDescent="0.25">
      <c r="A25" s="605"/>
      <c r="B25" s="608"/>
      <c r="C25" s="48">
        <v>0.46</v>
      </c>
      <c r="D25" s="48">
        <v>0.56000000000000005</v>
      </c>
      <c r="E25" s="654"/>
      <c r="F25" s="49">
        <v>380</v>
      </c>
      <c r="G25" s="14" t="s">
        <v>32</v>
      </c>
      <c r="H25" s="12"/>
      <c r="I25" s="13"/>
      <c r="J25" s="13"/>
      <c r="K25" s="13"/>
      <c r="L25" s="13"/>
      <c r="M25" s="13"/>
      <c r="N25" s="13"/>
      <c r="O25" s="13"/>
      <c r="P25" s="13"/>
      <c r="Q25" s="13"/>
      <c r="R25" s="373" t="s">
        <v>2238</v>
      </c>
      <c r="S25" s="621"/>
      <c r="T25" s="633"/>
      <c r="U25" s="636"/>
      <c r="Z25" s="1091"/>
    </row>
    <row r="26" spans="1:26" ht="14.4" thickBot="1" x14ac:dyDescent="0.3">
      <c r="A26" s="606"/>
      <c r="B26" s="609"/>
      <c r="C26" s="46">
        <v>0.56000000000000005</v>
      </c>
      <c r="D26" s="46">
        <v>0.59</v>
      </c>
      <c r="E26" s="646"/>
      <c r="F26" s="47">
        <v>132</v>
      </c>
      <c r="G26" s="20" t="s">
        <v>51</v>
      </c>
      <c r="H26" s="18"/>
      <c r="I26" s="19"/>
      <c r="J26" s="19"/>
      <c r="K26" s="19"/>
      <c r="L26" s="19"/>
      <c r="M26" s="19"/>
      <c r="N26" s="19"/>
      <c r="O26" s="19"/>
      <c r="P26" s="19"/>
      <c r="Q26" s="19"/>
      <c r="R26" s="374" t="s">
        <v>2244</v>
      </c>
      <c r="S26" s="631"/>
      <c r="T26" s="634"/>
      <c r="U26" s="637"/>
      <c r="Z26" s="1091"/>
    </row>
    <row r="27" spans="1:26" ht="60.6" thickBot="1" x14ac:dyDescent="0.3">
      <c r="A27" s="69" t="s">
        <v>2245</v>
      </c>
      <c r="B27" s="23" t="s">
        <v>2246</v>
      </c>
      <c r="C27" s="41">
        <v>0</v>
      </c>
      <c r="D27" s="41">
        <v>0.82</v>
      </c>
      <c r="E27" s="41">
        <v>0.82</v>
      </c>
      <c r="F27" s="4">
        <v>5084</v>
      </c>
      <c r="G27" s="3" t="s">
        <v>32</v>
      </c>
      <c r="H27" s="26"/>
      <c r="I27" s="3"/>
      <c r="J27" s="27"/>
      <c r="K27" s="27"/>
      <c r="L27" s="27"/>
      <c r="M27" s="27"/>
      <c r="N27" s="27"/>
      <c r="O27" s="27"/>
      <c r="P27" s="27"/>
      <c r="Q27" s="27"/>
      <c r="R27" s="376">
        <v>70660020074</v>
      </c>
      <c r="S27" s="27"/>
      <c r="T27" s="3" t="s">
        <v>2225</v>
      </c>
      <c r="U27" s="5"/>
    </row>
    <row r="28" spans="1:26" x14ac:dyDescent="0.25">
      <c r="A28" s="643" t="s">
        <v>2247</v>
      </c>
      <c r="B28" s="607" t="s">
        <v>2248</v>
      </c>
      <c r="C28" s="645">
        <v>0</v>
      </c>
      <c r="D28" s="610">
        <v>0.78</v>
      </c>
      <c r="E28" s="610">
        <v>0.78</v>
      </c>
      <c r="F28" s="613">
        <v>4836</v>
      </c>
      <c r="G28" s="645" t="s">
        <v>32</v>
      </c>
      <c r="H28" s="615"/>
      <c r="I28" s="640"/>
      <c r="J28" s="640"/>
      <c r="K28" s="640"/>
      <c r="L28" s="640"/>
      <c r="M28" s="640"/>
      <c r="N28" s="640"/>
      <c r="O28" s="640"/>
      <c r="P28" s="640"/>
      <c r="Q28" s="641"/>
      <c r="R28" s="377">
        <v>70660020183</v>
      </c>
      <c r="S28" s="640"/>
      <c r="T28" s="641" t="s">
        <v>2225</v>
      </c>
      <c r="U28" s="744"/>
    </row>
    <row r="29" spans="1:26" ht="60.6" customHeight="1" thickBot="1" x14ac:dyDescent="0.3">
      <c r="A29" s="689"/>
      <c r="B29" s="964"/>
      <c r="C29" s="646"/>
      <c r="D29" s="612"/>
      <c r="E29" s="612"/>
      <c r="F29" s="638"/>
      <c r="G29" s="646"/>
      <c r="H29" s="639"/>
      <c r="I29" s="631"/>
      <c r="J29" s="631"/>
      <c r="K29" s="631"/>
      <c r="L29" s="631"/>
      <c r="M29" s="631"/>
      <c r="N29" s="631"/>
      <c r="O29" s="631"/>
      <c r="P29" s="631"/>
      <c r="Q29" s="634"/>
      <c r="R29" s="374" t="s">
        <v>2249</v>
      </c>
      <c r="S29" s="631"/>
      <c r="T29" s="634"/>
      <c r="U29" s="745"/>
    </row>
    <row r="30" spans="1:26" ht="60.6" thickBot="1" x14ac:dyDescent="0.3">
      <c r="A30" s="40" t="s">
        <v>2250</v>
      </c>
      <c r="B30" s="305" t="s">
        <v>2251</v>
      </c>
      <c r="C30" s="24">
        <v>0</v>
      </c>
      <c r="D30" s="24">
        <v>1.24</v>
      </c>
      <c r="E30" s="24">
        <v>1.24</v>
      </c>
      <c r="F30" s="25">
        <v>7420</v>
      </c>
      <c r="G30" s="27" t="s">
        <v>51</v>
      </c>
      <c r="H30" s="26"/>
      <c r="I30" s="3"/>
      <c r="J30" s="27"/>
      <c r="K30" s="27"/>
      <c r="L30" s="27"/>
      <c r="M30" s="27"/>
      <c r="N30" s="27"/>
      <c r="O30" s="27"/>
      <c r="P30" s="27"/>
      <c r="Q30" s="27"/>
      <c r="R30" s="376" t="s">
        <v>2252</v>
      </c>
      <c r="S30" s="27"/>
      <c r="T30" s="3" t="s">
        <v>2225</v>
      </c>
      <c r="U30" s="110"/>
    </row>
    <row r="31" spans="1:26" x14ac:dyDescent="0.25">
      <c r="A31" s="643" t="s">
        <v>2253</v>
      </c>
      <c r="B31" s="1092" t="s">
        <v>2254</v>
      </c>
      <c r="C31" s="1093">
        <v>0</v>
      </c>
      <c r="D31" s="1096">
        <v>2.5099999999999998</v>
      </c>
      <c r="E31" s="1096">
        <v>2.5099999999999998</v>
      </c>
      <c r="F31" s="613">
        <v>15060</v>
      </c>
      <c r="G31" s="645" t="s">
        <v>32</v>
      </c>
      <c r="H31" s="649"/>
      <c r="I31" s="645"/>
      <c r="J31" s="645"/>
      <c r="K31" s="645"/>
      <c r="L31" s="645"/>
      <c r="M31" s="645"/>
      <c r="N31" s="645"/>
      <c r="O31" s="645"/>
      <c r="P31" s="645"/>
      <c r="Q31" s="645"/>
      <c r="R31" s="375" t="s">
        <v>2255</v>
      </c>
      <c r="S31" s="640"/>
      <c r="T31" s="641" t="s">
        <v>2225</v>
      </c>
      <c r="U31" s="642" t="s">
        <v>1215</v>
      </c>
    </row>
    <row r="32" spans="1:26" ht="36" x14ac:dyDescent="0.25">
      <c r="A32" s="605"/>
      <c r="B32" s="970"/>
      <c r="C32" s="1094"/>
      <c r="D32" s="1097"/>
      <c r="E32" s="1097"/>
      <c r="F32" s="614"/>
      <c r="G32" s="654"/>
      <c r="H32" s="653"/>
      <c r="I32" s="654"/>
      <c r="J32" s="654"/>
      <c r="K32" s="654"/>
      <c r="L32" s="654"/>
      <c r="M32" s="654"/>
      <c r="N32" s="654"/>
      <c r="O32" s="654"/>
      <c r="P32" s="654"/>
      <c r="Q32" s="654"/>
      <c r="R32" s="373" t="s">
        <v>2256</v>
      </c>
      <c r="S32" s="621"/>
      <c r="T32" s="633"/>
      <c r="U32" s="636"/>
    </row>
    <row r="33" spans="1:32" ht="14.4" thickBot="1" x14ac:dyDescent="0.3">
      <c r="A33" s="606"/>
      <c r="B33" s="964"/>
      <c r="C33" s="1095"/>
      <c r="D33" s="1098"/>
      <c r="E33" s="1098"/>
      <c r="F33" s="638"/>
      <c r="G33" s="646"/>
      <c r="H33" s="650"/>
      <c r="I33" s="646"/>
      <c r="J33" s="646"/>
      <c r="K33" s="646"/>
      <c r="L33" s="646"/>
      <c r="M33" s="646"/>
      <c r="N33" s="646"/>
      <c r="O33" s="646"/>
      <c r="P33" s="646"/>
      <c r="Q33" s="646"/>
      <c r="R33" s="378" t="s">
        <v>2257</v>
      </c>
      <c r="S33" s="631"/>
      <c r="T33" s="634"/>
      <c r="U33" s="637"/>
    </row>
    <row r="34" spans="1:32" ht="60.6" thickBot="1" x14ac:dyDescent="0.3">
      <c r="A34" s="22" t="s">
        <v>2258</v>
      </c>
      <c r="B34" s="305" t="s">
        <v>2259</v>
      </c>
      <c r="C34" s="382">
        <v>0</v>
      </c>
      <c r="D34" s="383">
        <v>0.18</v>
      </c>
      <c r="E34" s="383">
        <v>0.18</v>
      </c>
      <c r="F34" s="25">
        <v>720</v>
      </c>
      <c r="G34" s="41" t="s">
        <v>32</v>
      </c>
      <c r="H34" s="39"/>
      <c r="I34" s="41"/>
      <c r="J34" s="41"/>
      <c r="K34" s="41"/>
      <c r="L34" s="41"/>
      <c r="M34" s="41"/>
      <c r="N34" s="41"/>
      <c r="O34" s="41"/>
      <c r="P34" s="41"/>
      <c r="Q34" s="41"/>
      <c r="R34" s="380" t="s">
        <v>2260</v>
      </c>
      <c r="S34" s="27"/>
      <c r="T34" s="3" t="s">
        <v>2225</v>
      </c>
      <c r="U34" s="110"/>
    </row>
    <row r="35" spans="1:32" ht="60.6" thickBot="1" x14ac:dyDescent="0.3">
      <c r="A35" s="22" t="s">
        <v>2261</v>
      </c>
      <c r="B35" s="305" t="s">
        <v>2262</v>
      </c>
      <c r="C35" s="382">
        <v>0</v>
      </c>
      <c r="D35" s="383">
        <v>0.85</v>
      </c>
      <c r="E35" s="383">
        <v>0.85</v>
      </c>
      <c r="F35" s="25">
        <v>4250</v>
      </c>
      <c r="G35" s="41" t="s">
        <v>32</v>
      </c>
      <c r="H35" s="39"/>
      <c r="I35" s="41"/>
      <c r="J35" s="41"/>
      <c r="K35" s="41"/>
      <c r="L35" s="41"/>
      <c r="M35" s="41"/>
      <c r="N35" s="41"/>
      <c r="O35" s="41"/>
      <c r="P35" s="41"/>
      <c r="Q35" s="41"/>
      <c r="R35" s="380" t="s">
        <v>2263</v>
      </c>
      <c r="S35" s="27"/>
      <c r="T35" s="3" t="s">
        <v>2225</v>
      </c>
      <c r="U35" s="110"/>
    </row>
    <row r="36" spans="1:32" x14ac:dyDescent="0.25">
      <c r="A36" s="643" t="s">
        <v>2264</v>
      </c>
      <c r="B36" s="607" t="s">
        <v>2265</v>
      </c>
      <c r="C36" s="43">
        <v>0</v>
      </c>
      <c r="D36" s="43">
        <v>0.46</v>
      </c>
      <c r="E36" s="645">
        <v>2</v>
      </c>
      <c r="F36" s="44">
        <v>2300</v>
      </c>
      <c r="G36" s="33" t="s">
        <v>51</v>
      </c>
      <c r="H36" s="36"/>
      <c r="I36" s="33"/>
      <c r="J36" s="33"/>
      <c r="K36" s="33"/>
      <c r="L36" s="33"/>
      <c r="M36" s="33"/>
      <c r="N36" s="33"/>
      <c r="O36" s="33"/>
      <c r="P36" s="33"/>
      <c r="Q36" s="33"/>
      <c r="R36" s="375" t="s">
        <v>2266</v>
      </c>
      <c r="S36" s="640"/>
      <c r="T36" s="641" t="s">
        <v>2225</v>
      </c>
      <c r="U36" s="642"/>
    </row>
    <row r="37" spans="1:32" ht="84" x14ac:dyDescent="0.25">
      <c r="A37" s="742"/>
      <c r="B37" s="608"/>
      <c r="C37" s="48">
        <v>0.46</v>
      </c>
      <c r="D37" s="48">
        <v>1.7</v>
      </c>
      <c r="E37" s="654"/>
      <c r="F37" s="49">
        <v>8600</v>
      </c>
      <c r="G37" s="14" t="s">
        <v>32</v>
      </c>
      <c r="H37" s="37"/>
      <c r="I37" s="14"/>
      <c r="J37" s="14"/>
      <c r="K37" s="14"/>
      <c r="L37" s="14"/>
      <c r="M37" s="14"/>
      <c r="N37" s="14"/>
      <c r="O37" s="14"/>
      <c r="P37" s="14"/>
      <c r="Q37" s="14"/>
      <c r="R37" s="373" t="s">
        <v>2267</v>
      </c>
      <c r="S37" s="621"/>
      <c r="T37" s="633"/>
      <c r="U37" s="636"/>
    </row>
    <row r="38" spans="1:32" x14ac:dyDescent="0.25">
      <c r="A38" s="742"/>
      <c r="B38" s="608"/>
      <c r="C38" s="48">
        <v>1.7</v>
      </c>
      <c r="D38" s="48">
        <v>1.72</v>
      </c>
      <c r="E38" s="654"/>
      <c r="F38" s="49">
        <v>102</v>
      </c>
      <c r="G38" s="14" t="s">
        <v>51</v>
      </c>
      <c r="H38" s="37"/>
      <c r="I38" s="14"/>
      <c r="J38" s="14"/>
      <c r="K38" s="14"/>
      <c r="L38" s="14"/>
      <c r="M38" s="14"/>
      <c r="N38" s="14"/>
      <c r="O38" s="14"/>
      <c r="P38" s="14"/>
      <c r="Q38" s="14"/>
      <c r="R38" s="373" t="s">
        <v>2266</v>
      </c>
      <c r="S38" s="621"/>
      <c r="T38" s="633"/>
      <c r="U38" s="636"/>
    </row>
    <row r="39" spans="1:32" ht="36.6" thickBot="1" x14ac:dyDescent="0.3">
      <c r="A39" s="644"/>
      <c r="B39" s="609"/>
      <c r="C39" s="46">
        <v>1.72</v>
      </c>
      <c r="D39" s="46">
        <v>2</v>
      </c>
      <c r="E39" s="646"/>
      <c r="F39" s="47">
        <v>1898</v>
      </c>
      <c r="G39" s="20" t="s">
        <v>32</v>
      </c>
      <c r="H39" s="38"/>
      <c r="I39" s="20"/>
      <c r="J39" s="20"/>
      <c r="K39" s="20"/>
      <c r="L39" s="20"/>
      <c r="M39" s="20"/>
      <c r="N39" s="20"/>
      <c r="O39" s="20"/>
      <c r="P39" s="20"/>
      <c r="Q39" s="20"/>
      <c r="R39" s="374" t="s">
        <v>2268</v>
      </c>
      <c r="S39" s="631"/>
      <c r="T39" s="634"/>
      <c r="U39" s="637"/>
    </row>
    <row r="40" spans="1:32" ht="60.6" thickBot="1" x14ac:dyDescent="0.3">
      <c r="A40" s="40" t="s">
        <v>2269</v>
      </c>
      <c r="B40" s="23" t="s">
        <v>2270</v>
      </c>
      <c r="C40" s="41">
        <v>0</v>
      </c>
      <c r="D40" s="41">
        <v>0.22</v>
      </c>
      <c r="E40" s="41">
        <v>0.22</v>
      </c>
      <c r="F40" s="4">
        <v>1035</v>
      </c>
      <c r="G40" s="3" t="s">
        <v>51</v>
      </c>
      <c r="H40" s="39"/>
      <c r="I40" s="3"/>
      <c r="J40" s="3"/>
      <c r="K40" s="3"/>
      <c r="L40" s="3"/>
      <c r="M40" s="3"/>
      <c r="N40" s="3"/>
      <c r="O40" s="3"/>
      <c r="P40" s="3"/>
      <c r="Q40" s="3"/>
      <c r="R40" s="380">
        <v>70660020023</v>
      </c>
      <c r="S40" s="27" t="s">
        <v>2224</v>
      </c>
      <c r="T40" s="3" t="s">
        <v>2225</v>
      </c>
      <c r="U40" s="5" t="s">
        <v>1215</v>
      </c>
    </row>
    <row r="41" spans="1:32" ht="60.6" thickBot="1" x14ac:dyDescent="0.3">
      <c r="A41" s="40" t="s">
        <v>2271</v>
      </c>
      <c r="B41" s="23" t="s">
        <v>2272</v>
      </c>
      <c r="C41" s="41">
        <v>0</v>
      </c>
      <c r="D41" s="41">
        <v>1.03</v>
      </c>
      <c r="E41" s="41">
        <v>1.03</v>
      </c>
      <c r="F41" s="4">
        <v>1330</v>
      </c>
      <c r="G41" s="3" t="s">
        <v>32</v>
      </c>
      <c r="H41" s="27"/>
      <c r="I41" s="27"/>
      <c r="J41" s="27"/>
      <c r="K41" s="27"/>
      <c r="L41" s="27"/>
      <c r="M41" s="27"/>
      <c r="N41" s="27"/>
      <c r="O41" s="27"/>
      <c r="P41" s="27"/>
      <c r="Q41" s="3"/>
      <c r="R41" s="380" t="s">
        <v>2273</v>
      </c>
      <c r="S41" s="27"/>
      <c r="T41" s="3" t="s">
        <v>2225</v>
      </c>
      <c r="U41" s="110"/>
    </row>
    <row r="43" spans="1:32" ht="24" x14ac:dyDescent="0.25">
      <c r="A43" s="384"/>
      <c r="B43" s="61" t="s">
        <v>202</v>
      </c>
      <c r="C43" s="385"/>
    </row>
    <row r="44" spans="1:32" ht="24" x14ac:dyDescent="0.25">
      <c r="A44" s="384"/>
      <c r="B44" s="61" t="s">
        <v>203</v>
      </c>
    </row>
    <row r="45" spans="1:32" ht="24" x14ac:dyDescent="0.25">
      <c r="B45" s="61" t="s">
        <v>204</v>
      </c>
    </row>
    <row r="46" spans="1:32" ht="24" x14ac:dyDescent="0.25">
      <c r="B46" s="61" t="s">
        <v>205</v>
      </c>
    </row>
    <row r="48" spans="1:32" ht="27.6" customHeight="1" x14ac:dyDescent="0.25">
      <c r="A48" s="509"/>
      <c r="B48" s="509"/>
      <c r="C48" s="512" t="s">
        <v>3985</v>
      </c>
      <c r="D48" s="543" t="s">
        <v>3986</v>
      </c>
      <c r="E48" s="543"/>
      <c r="F48" s="543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09"/>
      <c r="U48" s="509"/>
      <c r="V48" s="509"/>
      <c r="W48" s="509"/>
      <c r="X48" s="509"/>
      <c r="Y48" s="509"/>
      <c r="Z48" s="509"/>
      <c r="AA48" s="509"/>
      <c r="AB48" s="509"/>
      <c r="AC48" s="509"/>
      <c r="AD48" s="509"/>
      <c r="AE48" s="510"/>
      <c r="AF48" s="510"/>
    </row>
    <row r="49" spans="1:32" x14ac:dyDescent="0.25">
      <c r="A49" s="509"/>
      <c r="B49" s="509"/>
      <c r="C49" s="509"/>
      <c r="D49" s="509"/>
      <c r="E49" s="509"/>
      <c r="F49" s="509"/>
      <c r="G49" s="509"/>
      <c r="H49" s="509"/>
      <c r="I49" s="509"/>
      <c r="J49" s="509"/>
      <c r="K49" s="509"/>
      <c r="L49" s="509"/>
      <c r="M49" s="509"/>
      <c r="N49" s="509"/>
      <c r="O49" s="509"/>
      <c r="P49" s="509"/>
      <c r="Q49" s="509"/>
      <c r="R49" s="509"/>
      <c r="S49" s="509"/>
      <c r="T49" s="509"/>
      <c r="U49" s="509"/>
      <c r="V49" s="509"/>
      <c r="W49" s="509"/>
      <c r="X49" s="509"/>
      <c r="Y49" s="509"/>
      <c r="Z49" s="509"/>
      <c r="AA49" s="509"/>
      <c r="AB49" s="509"/>
      <c r="AC49" s="509"/>
      <c r="AD49" s="509"/>
      <c r="AE49" s="510"/>
      <c r="AF49" s="510"/>
    </row>
    <row r="50" spans="1:32" x14ac:dyDescent="0.25">
      <c r="A50" s="509"/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  <c r="Z50" s="509"/>
      <c r="AA50" s="509"/>
      <c r="AB50" s="509"/>
      <c r="AC50" s="509"/>
      <c r="AD50" s="509"/>
      <c r="AE50" s="417"/>
      <c r="AF50" s="510"/>
    </row>
    <row r="51" spans="1:32" x14ac:dyDescent="0.25">
      <c r="B51" s="60"/>
      <c r="C51" s="438" t="s">
        <v>3989</v>
      </c>
      <c r="D51" s="544" t="s">
        <v>3990</v>
      </c>
      <c r="E51" s="544"/>
      <c r="F51" s="544"/>
      <c r="G51" s="544"/>
      <c r="H51" s="544"/>
      <c r="I51" s="544"/>
      <c r="T51" s="60"/>
      <c r="U51" s="60"/>
    </row>
    <row r="52" spans="1:32" ht="13.95" customHeight="1" x14ac:dyDescent="0.25">
      <c r="B52" s="60"/>
      <c r="C52" s="438" t="s">
        <v>3987</v>
      </c>
      <c r="D52" s="553" t="s">
        <v>3988</v>
      </c>
      <c r="E52" s="553"/>
      <c r="F52" s="553"/>
      <c r="G52" s="553"/>
      <c r="H52" s="553"/>
      <c r="I52" s="553"/>
      <c r="T52" s="60"/>
      <c r="U52" s="60"/>
    </row>
    <row r="53" spans="1:32" ht="14.4" customHeight="1" x14ac:dyDescent="0.25">
      <c r="T53" s="60"/>
      <c r="U53" s="60"/>
    </row>
    <row r="54" spans="1:32" x14ac:dyDescent="0.25">
      <c r="A54" s="469"/>
      <c r="B54" s="743" t="s">
        <v>3984</v>
      </c>
      <c r="C54" s="743"/>
      <c r="D54" s="743"/>
      <c r="E54" s="743"/>
      <c r="F54" s="743"/>
      <c r="G54" s="743"/>
      <c r="H54" s="743"/>
      <c r="I54" s="743"/>
      <c r="T54" s="304"/>
      <c r="U54" s="304"/>
    </row>
  </sheetData>
  <mergeCells count="135">
    <mergeCell ref="A36:A39"/>
    <mergeCell ref="B36:B39"/>
    <mergeCell ref="E36:E39"/>
    <mergeCell ref="S36:S39"/>
    <mergeCell ref="T36:T39"/>
    <mergeCell ref="D48:F48"/>
    <mergeCell ref="U36:U39"/>
    <mergeCell ref="L31:L33"/>
    <mergeCell ref="M31:M33"/>
    <mergeCell ref="N31:N33"/>
    <mergeCell ref="O31:O33"/>
    <mergeCell ref="P31:P33"/>
    <mergeCell ref="Q31:Q33"/>
    <mergeCell ref="F31:F33"/>
    <mergeCell ref="G31:G33"/>
    <mergeCell ref="H31:H33"/>
    <mergeCell ref="I31:I33"/>
    <mergeCell ref="J31:J33"/>
    <mergeCell ref="K31:K33"/>
    <mergeCell ref="A31:A33"/>
    <mergeCell ref="B31:B33"/>
    <mergeCell ref="C31:C33"/>
    <mergeCell ref="D31:D33"/>
    <mergeCell ref="E31:E33"/>
    <mergeCell ref="Z22:Z26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A22:A26"/>
    <mergeCell ref="B22:B26"/>
    <mergeCell ref="E22:E26"/>
    <mergeCell ref="S22:S26"/>
    <mergeCell ref="T22:T26"/>
    <mergeCell ref="U22:U26"/>
    <mergeCell ref="P28:P29"/>
    <mergeCell ref="J28:J29"/>
    <mergeCell ref="K28:K29"/>
    <mergeCell ref="L28:L29"/>
    <mergeCell ref="M28:M29"/>
    <mergeCell ref="S31:S33"/>
    <mergeCell ref="T31:T33"/>
    <mergeCell ref="U31:U33"/>
    <mergeCell ref="Q28:Q29"/>
    <mergeCell ref="O28:O29"/>
    <mergeCell ref="T17:T18"/>
    <mergeCell ref="U17:U18"/>
    <mergeCell ref="N17:N18"/>
    <mergeCell ref="O17:O18"/>
    <mergeCell ref="P17:P18"/>
    <mergeCell ref="Q17:Q18"/>
    <mergeCell ref="R17:R18"/>
    <mergeCell ref="S17:S18"/>
    <mergeCell ref="S28:S29"/>
    <mergeCell ref="T28:T29"/>
    <mergeCell ref="U28:U29"/>
    <mergeCell ref="N28:N29"/>
    <mergeCell ref="A19:A20"/>
    <mergeCell ref="B19:B20"/>
    <mergeCell ref="E19:E20"/>
    <mergeCell ref="F19:F20"/>
    <mergeCell ref="G19:G20"/>
    <mergeCell ref="S19:S20"/>
    <mergeCell ref="T19:T20"/>
    <mergeCell ref="U19:U20"/>
    <mergeCell ref="A17:A18"/>
    <mergeCell ref="B17:B18"/>
    <mergeCell ref="E17:E18"/>
    <mergeCell ref="H17:H18"/>
    <mergeCell ref="I17:I18"/>
    <mergeCell ref="J17:J18"/>
    <mergeCell ref="K17:K18"/>
    <mergeCell ref="L17:L18"/>
    <mergeCell ref="M17:M18"/>
    <mergeCell ref="T7:T11"/>
    <mergeCell ref="U7:U11"/>
    <mergeCell ref="A12:A15"/>
    <mergeCell ref="B12:B15"/>
    <mergeCell ref="E12:E15"/>
    <mergeCell ref="F12:F14"/>
    <mergeCell ref="G12:G14"/>
    <mergeCell ref="R12:R13"/>
    <mergeCell ref="S12:S15"/>
    <mergeCell ref="T12:T15"/>
    <mergeCell ref="N7:N11"/>
    <mergeCell ref="O7:O11"/>
    <mergeCell ref="P7:P11"/>
    <mergeCell ref="Q7:Q11"/>
    <mergeCell ref="R7:R11"/>
    <mergeCell ref="S7:S11"/>
    <mergeCell ref="H7:H11"/>
    <mergeCell ref="I7:I11"/>
    <mergeCell ref="J7:J11"/>
    <mergeCell ref="K7:K11"/>
    <mergeCell ref="L7:L11"/>
    <mergeCell ref="M7:M11"/>
    <mergeCell ref="U12:U15"/>
    <mergeCell ref="O4:O5"/>
    <mergeCell ref="P4:P5"/>
    <mergeCell ref="Q4:Q5"/>
    <mergeCell ref="R4:R5"/>
    <mergeCell ref="A7:A11"/>
    <mergeCell ref="B7:B11"/>
    <mergeCell ref="E7:E11"/>
    <mergeCell ref="F7:F10"/>
    <mergeCell ref="G7:G10"/>
    <mergeCell ref="D51:I51"/>
    <mergeCell ref="D52:I52"/>
    <mergeCell ref="B54:I54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4DDF7-3392-4758-B285-A43B0785D46B}">
  <dimension ref="A1:AF122"/>
  <sheetViews>
    <sheetView workbookViewId="0">
      <selection activeCell="W4" sqref="W4"/>
    </sheetView>
  </sheetViews>
  <sheetFormatPr defaultRowHeight="14.4" x14ac:dyDescent="0.3"/>
  <cols>
    <col min="1" max="1" width="15.5546875" bestFit="1" customWidth="1"/>
    <col min="2" max="2" width="32.5546875" customWidth="1"/>
    <col min="3" max="3" width="9.6640625" customWidth="1"/>
    <col min="4" max="4" width="11.33203125" customWidth="1"/>
    <col min="5" max="5" width="7.33203125" bestFit="1" customWidth="1"/>
    <col min="6" max="6" width="10.6640625" customWidth="1"/>
    <col min="7" max="7" width="7.5546875" bestFit="1" customWidth="1"/>
    <col min="8" max="8" width="11.6640625" customWidth="1"/>
    <col min="9" max="9" width="17.44140625" customWidth="1"/>
    <col min="10" max="10" width="11.5546875" customWidth="1"/>
    <col min="11" max="11" width="7.33203125" bestFit="1" customWidth="1"/>
    <col min="12" max="12" width="11.5546875" customWidth="1"/>
    <col min="13" max="13" width="14.109375" customWidth="1"/>
    <col min="14" max="14" width="14" customWidth="1"/>
    <col min="15" max="15" width="12.6640625" customWidth="1"/>
    <col min="16" max="16" width="8" bestFit="1" customWidth="1"/>
    <col min="17" max="17" width="7.33203125" bestFit="1" customWidth="1"/>
    <col min="18" max="18" width="16.6640625" customWidth="1"/>
    <col min="19" max="19" width="16.33203125" customWidth="1"/>
    <col min="20" max="20" width="44" customWidth="1"/>
    <col min="21" max="21" width="31.44140625" customWidth="1"/>
  </cols>
  <sheetData>
    <row r="1" spans="1:21" ht="18" thickBot="1" x14ac:dyDescent="0.35">
      <c r="A1" s="589" t="s">
        <v>2274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s="164" customFormat="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7</v>
      </c>
    </row>
    <row r="3" spans="1:21" s="164" customFormat="1" ht="34.200000000000003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s="164" customFormat="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s="164" customFormat="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s="164" customFormat="1" ht="15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ht="36.6" thickBot="1" x14ac:dyDescent="0.35">
      <c r="A7" s="55" t="s">
        <v>2275</v>
      </c>
      <c r="B7" s="45" t="s">
        <v>226</v>
      </c>
      <c r="C7" s="68">
        <v>0</v>
      </c>
      <c r="D7" s="68">
        <v>0.32</v>
      </c>
      <c r="E7" s="68">
        <v>0.32</v>
      </c>
      <c r="F7" s="94">
        <v>1920</v>
      </c>
      <c r="G7" s="57" t="s">
        <v>51</v>
      </c>
      <c r="H7" s="94"/>
      <c r="I7" s="94"/>
      <c r="J7" s="94"/>
      <c r="K7" s="94"/>
      <c r="L7" s="94"/>
      <c r="M7" s="94"/>
      <c r="N7" s="94"/>
      <c r="O7" s="94"/>
      <c r="P7" s="94">
        <v>376</v>
      </c>
      <c r="Q7" s="94">
        <v>206</v>
      </c>
      <c r="R7" s="57">
        <v>70680130211</v>
      </c>
      <c r="S7" s="94" t="s">
        <v>2276</v>
      </c>
      <c r="T7" s="57" t="s">
        <v>1690</v>
      </c>
      <c r="U7" s="342"/>
    </row>
    <row r="8" spans="1:21" ht="36.6" thickBot="1" x14ac:dyDescent="0.35">
      <c r="A8" s="22" t="s">
        <v>2277</v>
      </c>
      <c r="B8" s="23" t="s">
        <v>247</v>
      </c>
      <c r="C8" s="41">
        <v>0</v>
      </c>
      <c r="D8" s="41">
        <v>0.27</v>
      </c>
      <c r="E8" s="41">
        <v>0.27</v>
      </c>
      <c r="F8" s="27">
        <v>810</v>
      </c>
      <c r="G8" s="3" t="s">
        <v>51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3">
        <v>70680130212</v>
      </c>
      <c r="S8" s="27" t="s">
        <v>2276</v>
      </c>
      <c r="T8" s="3" t="s">
        <v>1690</v>
      </c>
      <c r="U8" s="110"/>
    </row>
    <row r="9" spans="1:21" ht="36.6" thickBot="1" x14ac:dyDescent="0.35">
      <c r="A9" s="22" t="s">
        <v>2278</v>
      </c>
      <c r="B9" s="23" t="s">
        <v>952</v>
      </c>
      <c r="C9" s="41">
        <v>0</v>
      </c>
      <c r="D9" s="41">
        <v>0.28000000000000003</v>
      </c>
      <c r="E9" s="41">
        <v>0.28000000000000003</v>
      </c>
      <c r="F9" s="27">
        <v>1400</v>
      </c>
      <c r="G9" s="3" t="s">
        <v>32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3">
        <v>70680130214</v>
      </c>
      <c r="S9" s="27" t="s">
        <v>2276</v>
      </c>
      <c r="T9" s="3" t="s">
        <v>1690</v>
      </c>
      <c r="U9" s="110"/>
    </row>
    <row r="10" spans="1:21" ht="36.6" thickBot="1" x14ac:dyDescent="0.35">
      <c r="A10" s="22" t="s">
        <v>2279</v>
      </c>
      <c r="B10" s="23" t="s">
        <v>263</v>
      </c>
      <c r="C10" s="41">
        <v>0</v>
      </c>
      <c r="D10" s="41">
        <v>0.41</v>
      </c>
      <c r="E10" s="41">
        <v>0.41</v>
      </c>
      <c r="F10" s="27">
        <v>2460</v>
      </c>
      <c r="G10" s="3" t="s">
        <v>32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3">
        <v>70680130208</v>
      </c>
      <c r="S10" s="27" t="s">
        <v>2276</v>
      </c>
      <c r="T10" s="3" t="s">
        <v>1690</v>
      </c>
      <c r="U10" s="5" t="s">
        <v>67</v>
      </c>
    </row>
    <row r="11" spans="1:21" x14ac:dyDescent="0.3">
      <c r="A11" s="604" t="s">
        <v>2280</v>
      </c>
      <c r="B11" s="607" t="s">
        <v>42</v>
      </c>
      <c r="C11" s="43">
        <v>0</v>
      </c>
      <c r="D11" s="43">
        <v>0.43</v>
      </c>
      <c r="E11" s="645">
        <v>0.65</v>
      </c>
      <c r="F11" s="640">
        <v>3900</v>
      </c>
      <c r="G11" s="33" t="s">
        <v>51</v>
      </c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641">
        <v>70680070336</v>
      </c>
      <c r="S11" s="640" t="s">
        <v>2281</v>
      </c>
      <c r="T11" s="641" t="s">
        <v>1690</v>
      </c>
      <c r="U11" s="744"/>
    </row>
    <row r="12" spans="1:21" ht="15" thickBot="1" x14ac:dyDescent="0.35">
      <c r="A12" s="606"/>
      <c r="B12" s="609"/>
      <c r="C12" s="46">
        <v>0.43</v>
      </c>
      <c r="D12" s="46">
        <v>0.65</v>
      </c>
      <c r="E12" s="646"/>
      <c r="F12" s="631"/>
      <c r="G12" s="20" t="s">
        <v>32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634"/>
      <c r="S12" s="631"/>
      <c r="T12" s="634"/>
      <c r="U12" s="745"/>
    </row>
    <row r="13" spans="1:21" ht="132" x14ac:dyDescent="0.3">
      <c r="A13" s="604" t="s">
        <v>2282</v>
      </c>
      <c r="B13" s="607" t="s">
        <v>2283</v>
      </c>
      <c r="C13" s="43">
        <v>0</v>
      </c>
      <c r="D13" s="43">
        <v>0.47</v>
      </c>
      <c r="E13" s="645">
        <v>0.56000000000000005</v>
      </c>
      <c r="F13" s="640">
        <v>2240</v>
      </c>
      <c r="G13" s="641" t="s">
        <v>32</v>
      </c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3" t="s">
        <v>2284</v>
      </c>
      <c r="S13" s="640" t="s">
        <v>2281</v>
      </c>
      <c r="T13" s="641" t="s">
        <v>1690</v>
      </c>
      <c r="U13" s="744"/>
    </row>
    <row r="14" spans="1:21" ht="15" thickBot="1" x14ac:dyDescent="0.35">
      <c r="A14" s="606"/>
      <c r="B14" s="609"/>
      <c r="C14" s="46">
        <v>0.47</v>
      </c>
      <c r="D14" s="46">
        <v>0.56000000000000005</v>
      </c>
      <c r="E14" s="646"/>
      <c r="F14" s="631"/>
      <c r="G14" s="634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20" t="s">
        <v>2285</v>
      </c>
      <c r="S14" s="631"/>
      <c r="T14" s="634"/>
      <c r="U14" s="745"/>
    </row>
    <row r="15" spans="1:21" x14ac:dyDescent="0.3">
      <c r="A15" s="604" t="s">
        <v>2286</v>
      </c>
      <c r="B15" s="607" t="s">
        <v>2287</v>
      </c>
      <c r="C15" s="43">
        <v>0</v>
      </c>
      <c r="D15" s="43">
        <v>0.4</v>
      </c>
      <c r="E15" s="645">
        <v>0.85</v>
      </c>
      <c r="F15" s="640">
        <v>5950</v>
      </c>
      <c r="G15" s="641" t="s">
        <v>32</v>
      </c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3">
        <v>70680130216</v>
      </c>
      <c r="S15" s="640"/>
      <c r="T15" s="641" t="s">
        <v>1690</v>
      </c>
      <c r="U15" s="744"/>
    </row>
    <row r="16" spans="1:21" ht="15" thickBot="1" x14ac:dyDescent="0.35">
      <c r="A16" s="606"/>
      <c r="B16" s="609"/>
      <c r="C16" s="46">
        <v>0.4</v>
      </c>
      <c r="D16" s="46">
        <v>0.85</v>
      </c>
      <c r="E16" s="646"/>
      <c r="F16" s="631"/>
      <c r="G16" s="634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20">
        <v>70680120127</v>
      </c>
      <c r="S16" s="631"/>
      <c r="T16" s="634"/>
      <c r="U16" s="745"/>
    </row>
    <row r="17" spans="1:21" x14ac:dyDescent="0.3">
      <c r="A17" s="604" t="s">
        <v>2288</v>
      </c>
      <c r="B17" s="607" t="s">
        <v>2289</v>
      </c>
      <c r="C17" s="43">
        <v>0</v>
      </c>
      <c r="D17" s="43">
        <v>2.0299999999999998</v>
      </c>
      <c r="E17" s="645">
        <v>3.45</v>
      </c>
      <c r="F17" s="640">
        <v>20700</v>
      </c>
      <c r="G17" s="641" t="s">
        <v>32</v>
      </c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3">
        <v>70680130215</v>
      </c>
      <c r="S17" s="640"/>
      <c r="T17" s="641" t="s">
        <v>1690</v>
      </c>
      <c r="U17" s="744"/>
    </row>
    <row r="18" spans="1:21" ht="15" thickBot="1" x14ac:dyDescent="0.35">
      <c r="A18" s="606"/>
      <c r="B18" s="609"/>
      <c r="C18" s="46">
        <v>2.0299999999999998</v>
      </c>
      <c r="D18" s="46">
        <v>3.45</v>
      </c>
      <c r="E18" s="646"/>
      <c r="F18" s="631"/>
      <c r="G18" s="634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20">
        <v>70680170121</v>
      </c>
      <c r="S18" s="631"/>
      <c r="T18" s="634"/>
      <c r="U18" s="745"/>
    </row>
    <row r="19" spans="1:21" ht="24" x14ac:dyDescent="0.3">
      <c r="A19" s="604" t="s">
        <v>2290</v>
      </c>
      <c r="B19" s="607" t="s">
        <v>2291</v>
      </c>
      <c r="C19" s="43">
        <v>0</v>
      </c>
      <c r="D19" s="43">
        <v>0.51</v>
      </c>
      <c r="E19" s="645">
        <v>0.76</v>
      </c>
      <c r="F19" s="640">
        <v>5320</v>
      </c>
      <c r="G19" s="641" t="s">
        <v>51</v>
      </c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3" t="s">
        <v>2292</v>
      </c>
      <c r="S19" s="640" t="s">
        <v>2281</v>
      </c>
      <c r="T19" s="641" t="s">
        <v>1690</v>
      </c>
      <c r="U19" s="642" t="s">
        <v>67</v>
      </c>
    </row>
    <row r="20" spans="1:21" ht="36.6" thickBot="1" x14ac:dyDescent="0.35">
      <c r="A20" s="606"/>
      <c r="B20" s="609"/>
      <c r="C20" s="46">
        <v>0.51</v>
      </c>
      <c r="D20" s="46">
        <v>0.76</v>
      </c>
      <c r="E20" s="646"/>
      <c r="F20" s="631"/>
      <c r="G20" s="634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20" t="s">
        <v>2293</v>
      </c>
      <c r="S20" s="631"/>
      <c r="T20" s="634"/>
      <c r="U20" s="637"/>
    </row>
    <row r="21" spans="1:21" ht="36.6" thickBot="1" x14ac:dyDescent="0.35">
      <c r="A21" s="22" t="s">
        <v>2294</v>
      </c>
      <c r="B21" s="23" t="s">
        <v>2295</v>
      </c>
      <c r="C21" s="41">
        <v>0</v>
      </c>
      <c r="D21" s="41">
        <v>0.97</v>
      </c>
      <c r="E21" s="41">
        <v>0.97</v>
      </c>
      <c r="F21" s="27">
        <v>5820</v>
      </c>
      <c r="G21" s="3" t="s">
        <v>32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3">
        <v>70680130206</v>
      </c>
      <c r="S21" s="27"/>
      <c r="T21" s="3" t="s">
        <v>1690</v>
      </c>
      <c r="U21" s="110"/>
    </row>
    <row r="22" spans="1:21" x14ac:dyDescent="0.3">
      <c r="A22" s="604" t="s">
        <v>2296</v>
      </c>
      <c r="B22" s="607" t="s">
        <v>2297</v>
      </c>
      <c r="C22" s="43">
        <v>0</v>
      </c>
      <c r="D22" s="43">
        <v>2.1</v>
      </c>
      <c r="E22" s="645">
        <v>3.18</v>
      </c>
      <c r="F22" s="640">
        <v>15900</v>
      </c>
      <c r="G22" s="641" t="s">
        <v>32</v>
      </c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3">
        <v>70680130207</v>
      </c>
      <c r="S22" s="640"/>
      <c r="T22" s="641" t="s">
        <v>1690</v>
      </c>
      <c r="U22" s="642" t="s">
        <v>67</v>
      </c>
    </row>
    <row r="23" spans="1:21" ht="15" thickBot="1" x14ac:dyDescent="0.35">
      <c r="A23" s="606"/>
      <c r="B23" s="609"/>
      <c r="C23" s="46">
        <v>2.1</v>
      </c>
      <c r="D23" s="46">
        <v>3.18</v>
      </c>
      <c r="E23" s="646"/>
      <c r="F23" s="631"/>
      <c r="G23" s="634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20">
        <v>70680130236</v>
      </c>
      <c r="S23" s="631"/>
      <c r="T23" s="634"/>
      <c r="U23" s="637"/>
    </row>
    <row r="24" spans="1:21" ht="36.6" thickBot="1" x14ac:dyDescent="0.35">
      <c r="A24" s="22" t="s">
        <v>2298</v>
      </c>
      <c r="B24" s="23" t="s">
        <v>2299</v>
      </c>
      <c r="C24" s="41">
        <v>0</v>
      </c>
      <c r="D24" s="41">
        <v>0.31</v>
      </c>
      <c r="E24" s="41">
        <v>0.31</v>
      </c>
      <c r="F24" s="27">
        <v>2015</v>
      </c>
      <c r="G24" s="3" t="s">
        <v>51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3">
        <v>70680130237</v>
      </c>
      <c r="S24" s="27" t="s">
        <v>2276</v>
      </c>
      <c r="T24" s="3" t="s">
        <v>1690</v>
      </c>
      <c r="U24" s="5" t="s">
        <v>67</v>
      </c>
    </row>
    <row r="25" spans="1:21" ht="36.6" thickBot="1" x14ac:dyDescent="0.35">
      <c r="A25" s="22" t="s">
        <v>2300</v>
      </c>
      <c r="B25" s="23" t="s">
        <v>2301</v>
      </c>
      <c r="C25" s="41">
        <v>0</v>
      </c>
      <c r="D25" s="41">
        <v>0.38</v>
      </c>
      <c r="E25" s="41">
        <v>0.38</v>
      </c>
      <c r="F25" s="27">
        <v>2660</v>
      </c>
      <c r="G25" s="3" t="s">
        <v>51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3">
        <v>70680070334</v>
      </c>
      <c r="S25" s="27" t="s">
        <v>2281</v>
      </c>
      <c r="T25" s="3" t="s">
        <v>1690</v>
      </c>
      <c r="U25" s="5" t="s">
        <v>67</v>
      </c>
    </row>
    <row r="26" spans="1:21" x14ac:dyDescent="0.3">
      <c r="A26" s="604" t="s">
        <v>2302</v>
      </c>
      <c r="B26" s="607" t="s">
        <v>927</v>
      </c>
      <c r="C26" s="43">
        <f>0</f>
        <v>0</v>
      </c>
      <c r="D26" s="43">
        <f>0.43</f>
        <v>0.43</v>
      </c>
      <c r="E26" s="645">
        <f>D27</f>
        <v>0.81799999999999995</v>
      </c>
      <c r="F26" s="640">
        <v>4920</v>
      </c>
      <c r="G26" s="662" t="s">
        <v>51</v>
      </c>
      <c r="H26" s="34"/>
      <c r="I26" s="34"/>
      <c r="J26" s="34"/>
      <c r="K26" s="34"/>
      <c r="L26" s="34"/>
      <c r="M26" s="34"/>
      <c r="N26" s="34"/>
      <c r="O26" s="34"/>
      <c r="P26" s="34">
        <f>61</f>
        <v>61</v>
      </c>
      <c r="Q26" s="34">
        <f>32</f>
        <v>32</v>
      </c>
      <c r="R26" s="33">
        <v>70680130210</v>
      </c>
      <c r="S26" s="640" t="s">
        <v>2276</v>
      </c>
      <c r="T26" s="641" t="s">
        <v>1690</v>
      </c>
      <c r="U26" s="642" t="s">
        <v>67</v>
      </c>
    </row>
    <row r="27" spans="1:21" ht="15" thickBot="1" x14ac:dyDescent="0.35">
      <c r="A27" s="606"/>
      <c r="B27" s="609"/>
      <c r="C27" s="46">
        <f>D26</f>
        <v>0.43</v>
      </c>
      <c r="D27" s="46">
        <v>0.81799999999999995</v>
      </c>
      <c r="E27" s="646"/>
      <c r="F27" s="631"/>
      <c r="G27" s="663"/>
      <c r="H27" s="19"/>
      <c r="I27" s="19"/>
      <c r="J27" s="19"/>
      <c r="K27" s="19"/>
      <c r="L27" s="19"/>
      <c r="M27" s="19"/>
      <c r="N27" s="19"/>
      <c r="O27" s="19"/>
      <c r="P27" s="19">
        <v>11</v>
      </c>
      <c r="Q27" s="19">
        <v>6</v>
      </c>
      <c r="R27" s="47">
        <v>70680130237</v>
      </c>
      <c r="S27" s="631"/>
      <c r="T27" s="634"/>
      <c r="U27" s="637"/>
    </row>
    <row r="28" spans="1:21" ht="36.6" thickBot="1" x14ac:dyDescent="0.35">
      <c r="A28" s="22" t="s">
        <v>2303</v>
      </c>
      <c r="B28" s="23" t="s">
        <v>351</v>
      </c>
      <c r="C28" s="41">
        <v>0</v>
      </c>
      <c r="D28" s="41">
        <v>0.17699999999999999</v>
      </c>
      <c r="E28" s="41">
        <f t="shared" ref="E28:E29" si="0">D28-C28</f>
        <v>0.17699999999999999</v>
      </c>
      <c r="F28" s="27">
        <v>900</v>
      </c>
      <c r="G28" s="3" t="s">
        <v>32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3">
        <v>70680130213</v>
      </c>
      <c r="S28" s="27" t="s">
        <v>2276</v>
      </c>
      <c r="T28" s="3" t="s">
        <v>1690</v>
      </c>
      <c r="U28" s="110"/>
    </row>
    <row r="29" spans="1:21" ht="36.6" thickBot="1" x14ac:dyDescent="0.35">
      <c r="A29" s="22" t="s">
        <v>2304</v>
      </c>
      <c r="B29" s="23" t="s">
        <v>2305</v>
      </c>
      <c r="C29" s="41">
        <v>0</v>
      </c>
      <c r="D29" s="41">
        <v>0.52500000000000002</v>
      </c>
      <c r="E29" s="41">
        <f t="shared" si="0"/>
        <v>0.52500000000000002</v>
      </c>
      <c r="F29" s="27">
        <v>2120</v>
      </c>
      <c r="G29" s="3" t="s">
        <v>51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3">
        <v>70680130239</v>
      </c>
      <c r="S29" s="27" t="s">
        <v>2276</v>
      </c>
      <c r="T29" s="3" t="s">
        <v>1690</v>
      </c>
      <c r="U29" s="110"/>
    </row>
    <row r="30" spans="1:21" x14ac:dyDescent="0.3">
      <c r="A30" s="604" t="s">
        <v>2306</v>
      </c>
      <c r="B30" s="607" t="s">
        <v>405</v>
      </c>
      <c r="C30" s="43">
        <v>0</v>
      </c>
      <c r="D30" s="43">
        <v>0.11</v>
      </c>
      <c r="E30" s="645">
        <v>0.2</v>
      </c>
      <c r="F30" s="640">
        <v>800</v>
      </c>
      <c r="G30" s="641" t="s">
        <v>32</v>
      </c>
      <c r="H30" s="32"/>
      <c r="I30" s="34"/>
      <c r="J30" s="34"/>
      <c r="K30" s="34"/>
      <c r="L30" s="34"/>
      <c r="M30" s="34"/>
      <c r="N30" s="34"/>
      <c r="O30" s="34"/>
      <c r="P30" s="34"/>
      <c r="Q30" s="34"/>
      <c r="R30" s="33">
        <v>70680130238</v>
      </c>
      <c r="S30" s="640" t="s">
        <v>2276</v>
      </c>
      <c r="T30" s="641" t="s">
        <v>1690</v>
      </c>
      <c r="U30" s="744"/>
    </row>
    <row r="31" spans="1:21" x14ac:dyDescent="0.3">
      <c r="A31" s="605"/>
      <c r="B31" s="608"/>
      <c r="C31" s="654">
        <v>0.11</v>
      </c>
      <c r="D31" s="654">
        <v>0.2</v>
      </c>
      <c r="E31" s="654"/>
      <c r="F31" s="621"/>
      <c r="G31" s="6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4" t="s">
        <v>2307</v>
      </c>
      <c r="S31" s="621"/>
      <c r="T31" s="633"/>
      <c r="U31" s="750"/>
    </row>
    <row r="32" spans="1:21" ht="15" thickBot="1" x14ac:dyDescent="0.35">
      <c r="A32" s="606"/>
      <c r="B32" s="609"/>
      <c r="C32" s="646"/>
      <c r="D32" s="646"/>
      <c r="E32" s="646"/>
      <c r="F32" s="631"/>
      <c r="G32" s="634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20" t="s">
        <v>2308</v>
      </c>
      <c r="S32" s="631"/>
      <c r="T32" s="634"/>
      <c r="U32" s="745"/>
    </row>
    <row r="33" spans="1:21" x14ac:dyDescent="0.3">
      <c r="A33" s="604" t="s">
        <v>2309</v>
      </c>
      <c r="B33" s="607" t="s">
        <v>1976</v>
      </c>
      <c r="C33" s="43">
        <v>0</v>
      </c>
      <c r="D33" s="43">
        <v>0.53700000000000003</v>
      </c>
      <c r="E33" s="645">
        <v>0.625</v>
      </c>
      <c r="F33" s="640">
        <v>3780</v>
      </c>
      <c r="G33" s="641" t="s">
        <v>32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3">
        <v>70680130207</v>
      </c>
      <c r="S33" s="640" t="s">
        <v>2276</v>
      </c>
      <c r="T33" s="641" t="s">
        <v>1690</v>
      </c>
      <c r="U33" s="642" t="s">
        <v>67</v>
      </c>
    </row>
    <row r="34" spans="1:21" ht="15" thickBot="1" x14ac:dyDescent="0.35">
      <c r="A34" s="606"/>
      <c r="B34" s="609"/>
      <c r="C34" s="46">
        <f>D33</f>
        <v>0.53700000000000003</v>
      </c>
      <c r="D34" s="46">
        <v>0.625</v>
      </c>
      <c r="E34" s="646"/>
      <c r="F34" s="631"/>
      <c r="G34" s="634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20" t="s">
        <v>2310</v>
      </c>
      <c r="S34" s="631"/>
      <c r="T34" s="634"/>
      <c r="U34" s="637"/>
    </row>
    <row r="35" spans="1:21" ht="14.4" customHeight="1" x14ac:dyDescent="0.3">
      <c r="A35" s="604" t="s">
        <v>2311</v>
      </c>
      <c r="B35" s="607" t="s">
        <v>2312</v>
      </c>
      <c r="C35" s="43">
        <v>0</v>
      </c>
      <c r="D35" s="43">
        <v>2.12</v>
      </c>
      <c r="E35" s="645">
        <v>3.24</v>
      </c>
      <c r="F35" s="641">
        <v>19440</v>
      </c>
      <c r="G35" s="641" t="s">
        <v>32</v>
      </c>
      <c r="H35" s="32"/>
      <c r="I35" s="34"/>
      <c r="J35" s="34"/>
      <c r="K35" s="34"/>
      <c r="L35" s="34"/>
      <c r="M35" s="34"/>
      <c r="N35" s="34"/>
      <c r="O35" s="34"/>
      <c r="P35" s="34"/>
      <c r="Q35" s="34"/>
      <c r="R35" s="33">
        <v>70680050113</v>
      </c>
      <c r="S35" s="1099"/>
      <c r="T35" s="641" t="s">
        <v>1690</v>
      </c>
      <c r="U35" s="744"/>
    </row>
    <row r="36" spans="1:21" ht="15" thickBot="1" x14ac:dyDescent="0.35">
      <c r="A36" s="606"/>
      <c r="B36" s="609"/>
      <c r="C36" s="46">
        <v>2.12</v>
      </c>
      <c r="D36" s="46">
        <v>3.24</v>
      </c>
      <c r="E36" s="646"/>
      <c r="F36" s="634"/>
      <c r="G36" s="634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20">
        <v>70680100095</v>
      </c>
      <c r="S36" s="1101"/>
      <c r="T36" s="634"/>
      <c r="U36" s="745"/>
    </row>
    <row r="37" spans="1:21" x14ac:dyDescent="0.3">
      <c r="A37" s="604" t="s">
        <v>2313</v>
      </c>
      <c r="B37" s="607" t="s">
        <v>2314</v>
      </c>
      <c r="C37" s="43">
        <v>0</v>
      </c>
      <c r="D37" s="43">
        <v>1.98</v>
      </c>
      <c r="E37" s="645">
        <v>4.42</v>
      </c>
      <c r="F37" s="640">
        <v>26520</v>
      </c>
      <c r="G37" s="641" t="s">
        <v>32</v>
      </c>
      <c r="H37" s="34"/>
      <c r="I37" s="34"/>
      <c r="J37" s="34"/>
      <c r="K37" s="34"/>
      <c r="L37" s="34"/>
      <c r="M37" s="34"/>
      <c r="N37" s="34"/>
      <c r="O37" s="34" t="s">
        <v>161</v>
      </c>
      <c r="P37" s="34"/>
      <c r="Q37" s="34"/>
      <c r="R37" s="33">
        <v>70680090099</v>
      </c>
      <c r="S37" s="1099"/>
      <c r="T37" s="641" t="s">
        <v>1690</v>
      </c>
      <c r="U37" s="744"/>
    </row>
    <row r="38" spans="1:21" x14ac:dyDescent="0.3">
      <c r="A38" s="605"/>
      <c r="B38" s="608"/>
      <c r="C38" s="654">
        <v>1.98</v>
      </c>
      <c r="D38" s="654">
        <v>4</v>
      </c>
      <c r="E38" s="654"/>
      <c r="F38" s="621"/>
      <c r="G38" s="63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4" t="s">
        <v>2315</v>
      </c>
      <c r="S38" s="1100"/>
      <c r="T38" s="633"/>
      <c r="U38" s="750"/>
    </row>
    <row r="39" spans="1:21" x14ac:dyDescent="0.3">
      <c r="A39" s="605"/>
      <c r="B39" s="608"/>
      <c r="C39" s="654"/>
      <c r="D39" s="654"/>
      <c r="E39" s="654"/>
      <c r="F39" s="621"/>
      <c r="G39" s="63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4" t="s">
        <v>2316</v>
      </c>
      <c r="S39" s="1100"/>
      <c r="T39" s="633"/>
      <c r="U39" s="750"/>
    </row>
    <row r="40" spans="1:21" x14ac:dyDescent="0.3">
      <c r="A40" s="605"/>
      <c r="B40" s="608"/>
      <c r="C40" s="654"/>
      <c r="D40" s="654"/>
      <c r="E40" s="654"/>
      <c r="F40" s="621"/>
      <c r="G40" s="63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4" t="s">
        <v>2317</v>
      </c>
      <c r="S40" s="1100"/>
      <c r="T40" s="633"/>
      <c r="U40" s="750"/>
    </row>
    <row r="41" spans="1:21" ht="24" x14ac:dyDescent="0.3">
      <c r="A41" s="605"/>
      <c r="B41" s="608"/>
      <c r="C41" s="654"/>
      <c r="D41" s="654"/>
      <c r="E41" s="654"/>
      <c r="F41" s="621"/>
      <c r="G41" s="63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4" t="s">
        <v>2318</v>
      </c>
      <c r="S41" s="1100"/>
      <c r="T41" s="633"/>
      <c r="U41" s="750"/>
    </row>
    <row r="42" spans="1:21" ht="15" thickBot="1" x14ac:dyDescent="0.35">
      <c r="A42" s="606"/>
      <c r="B42" s="609"/>
      <c r="C42" s="46">
        <v>4</v>
      </c>
      <c r="D42" s="46">
        <v>4.42</v>
      </c>
      <c r="E42" s="646"/>
      <c r="F42" s="631"/>
      <c r="G42" s="634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20">
        <v>70680090110</v>
      </c>
      <c r="S42" s="1101"/>
      <c r="T42" s="634"/>
      <c r="U42" s="745"/>
    </row>
    <row r="43" spans="1:21" x14ac:dyDescent="0.3">
      <c r="A43" s="604" t="s">
        <v>2319</v>
      </c>
      <c r="B43" s="607" t="s">
        <v>2320</v>
      </c>
      <c r="C43" s="43">
        <v>0</v>
      </c>
      <c r="D43" s="43">
        <v>4.5999999999999996</v>
      </c>
      <c r="E43" s="645">
        <v>8.02</v>
      </c>
      <c r="F43" s="640">
        <v>48120</v>
      </c>
      <c r="G43" s="641" t="s">
        <v>32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3">
        <v>70680110079</v>
      </c>
      <c r="S43" s="1099"/>
      <c r="T43" s="641" t="s">
        <v>1690</v>
      </c>
      <c r="U43" s="744"/>
    </row>
    <row r="44" spans="1:21" x14ac:dyDescent="0.3">
      <c r="A44" s="605"/>
      <c r="B44" s="608"/>
      <c r="C44" s="48">
        <v>4.5999999999999996</v>
      </c>
      <c r="D44" s="48">
        <v>7.8120000000000003</v>
      </c>
      <c r="E44" s="654"/>
      <c r="F44" s="621"/>
      <c r="G44" s="63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633">
        <v>70680120128</v>
      </c>
      <c r="S44" s="1100"/>
      <c r="T44" s="633"/>
      <c r="U44" s="750"/>
    </row>
    <row r="45" spans="1:21" ht="15" thickBot="1" x14ac:dyDescent="0.35">
      <c r="A45" s="606"/>
      <c r="B45" s="609"/>
      <c r="C45" s="46">
        <v>7.8120000000000003</v>
      </c>
      <c r="D45" s="46">
        <v>8.02</v>
      </c>
      <c r="E45" s="646"/>
      <c r="F45" s="631"/>
      <c r="G45" s="634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634"/>
      <c r="S45" s="1101"/>
      <c r="T45" s="634"/>
      <c r="U45" s="745"/>
    </row>
    <row r="46" spans="1:21" x14ac:dyDescent="0.3">
      <c r="A46" s="604" t="s">
        <v>2321</v>
      </c>
      <c r="B46" s="607" t="s">
        <v>2322</v>
      </c>
      <c r="C46" s="43">
        <v>0</v>
      </c>
      <c r="D46" s="43">
        <v>1.1200000000000001</v>
      </c>
      <c r="E46" s="645">
        <v>2.0270000000000001</v>
      </c>
      <c r="F46" s="640">
        <v>10150</v>
      </c>
      <c r="G46" s="641" t="s">
        <v>32</v>
      </c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3">
        <v>70680150068</v>
      </c>
      <c r="S46" s="1099"/>
      <c r="T46" s="641" t="s">
        <v>1690</v>
      </c>
      <c r="U46" s="744"/>
    </row>
    <row r="47" spans="1:21" ht="15" thickBot="1" x14ac:dyDescent="0.35">
      <c r="A47" s="606"/>
      <c r="B47" s="609"/>
      <c r="C47" s="46">
        <v>1.1200000000000001</v>
      </c>
      <c r="D47" s="46">
        <v>2.0270000000000001</v>
      </c>
      <c r="E47" s="646"/>
      <c r="F47" s="631"/>
      <c r="G47" s="634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20">
        <v>70680170117</v>
      </c>
      <c r="S47" s="1101"/>
      <c r="T47" s="634"/>
      <c r="U47" s="745"/>
    </row>
    <row r="48" spans="1:21" x14ac:dyDescent="0.3">
      <c r="A48" s="604" t="s">
        <v>2323</v>
      </c>
      <c r="B48" s="607" t="s">
        <v>2324</v>
      </c>
      <c r="C48" s="43">
        <v>0</v>
      </c>
      <c r="D48" s="43">
        <v>0.77700000000000002</v>
      </c>
      <c r="E48" s="645">
        <v>0.99</v>
      </c>
      <c r="F48" s="640">
        <v>4950</v>
      </c>
      <c r="G48" s="641" t="s">
        <v>32</v>
      </c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3">
        <v>70680120126</v>
      </c>
      <c r="S48" s="1099"/>
      <c r="T48" s="641" t="s">
        <v>1690</v>
      </c>
      <c r="U48" s="642"/>
    </row>
    <row r="49" spans="1:21" ht="24.6" thickBot="1" x14ac:dyDescent="0.35">
      <c r="A49" s="606"/>
      <c r="B49" s="609"/>
      <c r="C49" s="46">
        <v>0.78</v>
      </c>
      <c r="D49" s="46">
        <v>0.99</v>
      </c>
      <c r="E49" s="646"/>
      <c r="F49" s="631"/>
      <c r="G49" s="634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20" t="s">
        <v>2325</v>
      </c>
      <c r="S49" s="1101"/>
      <c r="T49" s="634"/>
      <c r="U49" s="637"/>
    </row>
    <row r="50" spans="1:21" ht="15" thickBot="1" x14ac:dyDescent="0.35">
      <c r="A50" s="22" t="s">
        <v>2326</v>
      </c>
      <c r="B50" s="23" t="s">
        <v>2327</v>
      </c>
      <c r="C50" s="41">
        <v>0</v>
      </c>
      <c r="D50" s="41">
        <v>5.37</v>
      </c>
      <c r="E50" s="41">
        <f>D50-C50</f>
        <v>5.37</v>
      </c>
      <c r="F50" s="27">
        <v>34905</v>
      </c>
      <c r="G50" s="3" t="s">
        <v>32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386">
        <v>70680010145001</v>
      </c>
      <c r="S50" s="387"/>
      <c r="T50" s="27"/>
      <c r="U50" s="5"/>
    </row>
    <row r="51" spans="1:21" x14ac:dyDescent="0.3">
      <c r="A51" s="604" t="s">
        <v>2328</v>
      </c>
      <c r="B51" s="607" t="s">
        <v>2329</v>
      </c>
      <c r="C51" s="43">
        <v>0</v>
      </c>
      <c r="D51" s="43">
        <v>0.63</v>
      </c>
      <c r="E51" s="645">
        <v>2.0670000000000002</v>
      </c>
      <c r="F51" s="640">
        <v>10350</v>
      </c>
      <c r="G51" s="641" t="s">
        <v>32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3">
        <v>70680090100</v>
      </c>
      <c r="S51" s="1099"/>
      <c r="T51" s="641" t="s">
        <v>1690</v>
      </c>
      <c r="U51" s="744"/>
    </row>
    <row r="52" spans="1:21" x14ac:dyDescent="0.3">
      <c r="A52" s="605"/>
      <c r="B52" s="608"/>
      <c r="C52" s="48">
        <v>0.63</v>
      </c>
      <c r="D52" s="48">
        <v>0.87</v>
      </c>
      <c r="E52" s="654"/>
      <c r="F52" s="621"/>
      <c r="G52" s="63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4" t="s">
        <v>2330</v>
      </c>
      <c r="S52" s="1100"/>
      <c r="T52" s="633"/>
      <c r="U52" s="750"/>
    </row>
    <row r="53" spans="1:21" x14ac:dyDescent="0.3">
      <c r="A53" s="605"/>
      <c r="B53" s="608"/>
      <c r="C53" s="48">
        <v>0.87</v>
      </c>
      <c r="D53" s="48">
        <v>1.26</v>
      </c>
      <c r="E53" s="654"/>
      <c r="F53" s="621"/>
      <c r="G53" s="63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4">
        <v>70680090108</v>
      </c>
      <c r="S53" s="1100"/>
      <c r="T53" s="633"/>
      <c r="U53" s="750"/>
    </row>
    <row r="54" spans="1:21" x14ac:dyDescent="0.3">
      <c r="A54" s="605"/>
      <c r="B54" s="608"/>
      <c r="C54" s="48">
        <v>1.26</v>
      </c>
      <c r="D54" s="48">
        <v>1.91</v>
      </c>
      <c r="E54" s="654"/>
      <c r="F54" s="621"/>
      <c r="G54" s="63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4">
        <v>70680080036</v>
      </c>
      <c r="S54" s="1100"/>
      <c r="T54" s="633"/>
      <c r="U54" s="750"/>
    </row>
    <row r="55" spans="1:21" ht="15" thickBot="1" x14ac:dyDescent="0.35">
      <c r="A55" s="606"/>
      <c r="B55" s="609"/>
      <c r="C55" s="46">
        <v>1.91</v>
      </c>
      <c r="D55" s="46">
        <v>2.0670000000000002</v>
      </c>
      <c r="E55" s="646"/>
      <c r="F55" s="631"/>
      <c r="G55" s="634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20" t="s">
        <v>2331</v>
      </c>
      <c r="S55" s="1101"/>
      <c r="T55" s="634"/>
      <c r="U55" s="745"/>
    </row>
    <row r="56" spans="1:21" x14ac:dyDescent="0.3">
      <c r="A56" s="604" t="s">
        <v>2332</v>
      </c>
      <c r="B56" s="607" t="s">
        <v>2333</v>
      </c>
      <c r="C56" s="43">
        <v>0</v>
      </c>
      <c r="D56" s="43">
        <v>0.56000000000000005</v>
      </c>
      <c r="E56" s="645">
        <v>2.9670000000000001</v>
      </c>
      <c r="F56" s="640">
        <v>17820</v>
      </c>
      <c r="G56" s="641" t="s">
        <v>32</v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3">
        <v>70680150066</v>
      </c>
      <c r="S56" s="1099"/>
      <c r="T56" s="641" t="s">
        <v>1690</v>
      </c>
      <c r="U56" s="744"/>
    </row>
    <row r="57" spans="1:21" x14ac:dyDescent="0.3">
      <c r="A57" s="605"/>
      <c r="B57" s="608"/>
      <c r="C57" s="654">
        <v>0.56000000000000005</v>
      </c>
      <c r="D57" s="654">
        <v>1.61</v>
      </c>
      <c r="E57" s="654"/>
      <c r="F57" s="621"/>
      <c r="G57" s="63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4" t="s">
        <v>2334</v>
      </c>
      <c r="S57" s="1100"/>
      <c r="T57" s="633"/>
      <c r="U57" s="750"/>
    </row>
    <row r="58" spans="1:21" x14ac:dyDescent="0.3">
      <c r="A58" s="605"/>
      <c r="B58" s="608"/>
      <c r="C58" s="654"/>
      <c r="D58" s="654"/>
      <c r="E58" s="654"/>
      <c r="F58" s="621"/>
      <c r="G58" s="63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4" t="s">
        <v>2335</v>
      </c>
      <c r="S58" s="1100"/>
      <c r="T58" s="633"/>
      <c r="U58" s="750"/>
    </row>
    <row r="59" spans="1:21" x14ac:dyDescent="0.3">
      <c r="A59" s="605"/>
      <c r="B59" s="608"/>
      <c r="C59" s="654"/>
      <c r="D59" s="654"/>
      <c r="E59" s="654"/>
      <c r="F59" s="621"/>
      <c r="G59" s="63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4" t="s">
        <v>2336</v>
      </c>
      <c r="S59" s="1100"/>
      <c r="T59" s="633"/>
      <c r="U59" s="750"/>
    </row>
    <row r="60" spans="1:21" x14ac:dyDescent="0.3">
      <c r="A60" s="605"/>
      <c r="B60" s="608"/>
      <c r="C60" s="48">
        <v>1.61</v>
      </c>
      <c r="D60" s="48">
        <v>2.08</v>
      </c>
      <c r="E60" s="654"/>
      <c r="F60" s="621"/>
      <c r="G60" s="63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4">
        <v>70680150074</v>
      </c>
      <c r="S60" s="1100"/>
      <c r="T60" s="633"/>
      <c r="U60" s="750"/>
    </row>
    <row r="61" spans="1:21" x14ac:dyDescent="0.3">
      <c r="A61" s="605"/>
      <c r="B61" s="608"/>
      <c r="C61" s="654">
        <v>2.08</v>
      </c>
      <c r="D61" s="654">
        <v>2.63</v>
      </c>
      <c r="E61" s="654"/>
      <c r="F61" s="621"/>
      <c r="G61" s="63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4" t="s">
        <v>2337</v>
      </c>
      <c r="S61" s="1100"/>
      <c r="T61" s="633"/>
      <c r="U61" s="750"/>
    </row>
    <row r="62" spans="1:21" x14ac:dyDescent="0.3">
      <c r="A62" s="605"/>
      <c r="B62" s="608"/>
      <c r="C62" s="654"/>
      <c r="D62" s="654"/>
      <c r="E62" s="654"/>
      <c r="F62" s="621"/>
      <c r="G62" s="63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4" t="s">
        <v>2338</v>
      </c>
      <c r="S62" s="1100"/>
      <c r="T62" s="633"/>
      <c r="U62" s="750"/>
    </row>
    <row r="63" spans="1:21" x14ac:dyDescent="0.3">
      <c r="A63" s="605"/>
      <c r="B63" s="608"/>
      <c r="C63" s="654"/>
      <c r="D63" s="654"/>
      <c r="E63" s="654"/>
      <c r="F63" s="621"/>
      <c r="G63" s="63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 t="s">
        <v>2339</v>
      </c>
      <c r="S63" s="1100"/>
      <c r="T63" s="633"/>
      <c r="U63" s="750"/>
    </row>
    <row r="64" spans="1:21" ht="15" thickBot="1" x14ac:dyDescent="0.35">
      <c r="A64" s="606"/>
      <c r="B64" s="609"/>
      <c r="C64" s="46">
        <v>2.63</v>
      </c>
      <c r="D64" s="46">
        <v>2.97</v>
      </c>
      <c r="E64" s="646"/>
      <c r="F64" s="631"/>
      <c r="G64" s="634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20">
        <v>70680150067</v>
      </c>
      <c r="S64" s="1101"/>
      <c r="T64" s="634"/>
      <c r="U64" s="745"/>
    </row>
    <row r="65" spans="1:21" x14ac:dyDescent="0.3">
      <c r="A65" s="604" t="s">
        <v>2340</v>
      </c>
      <c r="B65" s="607" t="s">
        <v>2341</v>
      </c>
      <c r="C65" s="43">
        <v>0</v>
      </c>
      <c r="D65" s="43">
        <v>1.21</v>
      </c>
      <c r="E65" s="645">
        <v>7.74</v>
      </c>
      <c r="F65" s="640">
        <v>46440</v>
      </c>
      <c r="G65" s="641" t="s">
        <v>32</v>
      </c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3">
        <v>70680050114</v>
      </c>
      <c r="S65" s="1099"/>
      <c r="T65" s="641" t="s">
        <v>1690</v>
      </c>
      <c r="U65" s="642"/>
    </row>
    <row r="66" spans="1:21" x14ac:dyDescent="0.3">
      <c r="A66" s="605"/>
      <c r="B66" s="608"/>
      <c r="C66" s="48">
        <v>1.21</v>
      </c>
      <c r="D66" s="48">
        <v>5.49</v>
      </c>
      <c r="E66" s="654"/>
      <c r="F66" s="621"/>
      <c r="G66" s="63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4">
        <v>70680060049</v>
      </c>
      <c r="S66" s="1100"/>
      <c r="T66" s="633"/>
      <c r="U66" s="636"/>
    </row>
    <row r="67" spans="1:21" x14ac:dyDescent="0.3">
      <c r="A67" s="605"/>
      <c r="B67" s="608"/>
      <c r="C67" s="48">
        <v>5.49</v>
      </c>
      <c r="D67" s="48">
        <v>7.71</v>
      </c>
      <c r="E67" s="654"/>
      <c r="F67" s="621"/>
      <c r="G67" s="63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4">
        <v>70680020039</v>
      </c>
      <c r="S67" s="1100"/>
      <c r="T67" s="633"/>
      <c r="U67" s="636"/>
    </row>
    <row r="68" spans="1:21" ht="15" thickBot="1" x14ac:dyDescent="0.35">
      <c r="A68" s="606"/>
      <c r="B68" s="609"/>
      <c r="C68" s="46">
        <v>7.71</v>
      </c>
      <c r="D68" s="46">
        <v>7.74</v>
      </c>
      <c r="E68" s="646"/>
      <c r="F68" s="631"/>
      <c r="G68" s="634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20" t="s">
        <v>2342</v>
      </c>
      <c r="S68" s="1101"/>
      <c r="T68" s="634"/>
      <c r="U68" s="637"/>
    </row>
    <row r="69" spans="1:21" x14ac:dyDescent="0.3">
      <c r="A69" s="604" t="s">
        <v>2343</v>
      </c>
      <c r="B69" s="607" t="s">
        <v>2344</v>
      </c>
      <c r="C69" s="43">
        <v>0</v>
      </c>
      <c r="D69" s="43">
        <v>3.62</v>
      </c>
      <c r="E69" s="645">
        <v>5.0640000000000001</v>
      </c>
      <c r="F69" s="640">
        <v>25300</v>
      </c>
      <c r="G69" s="641" t="s">
        <v>32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3">
        <v>70680160078</v>
      </c>
      <c r="S69" s="1099"/>
      <c r="T69" s="641" t="s">
        <v>1690</v>
      </c>
      <c r="U69" s="744"/>
    </row>
    <row r="70" spans="1:21" ht="15" thickBot="1" x14ac:dyDescent="0.35">
      <c r="A70" s="606"/>
      <c r="B70" s="609"/>
      <c r="C70" s="46">
        <v>3.62</v>
      </c>
      <c r="D70" s="46">
        <v>5.0640000000000001</v>
      </c>
      <c r="E70" s="646"/>
      <c r="F70" s="631"/>
      <c r="G70" s="634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20" t="s">
        <v>2345</v>
      </c>
      <c r="S70" s="1101"/>
      <c r="T70" s="634"/>
      <c r="U70" s="745"/>
    </row>
    <row r="71" spans="1:21" ht="14.4" customHeight="1" x14ac:dyDescent="0.3">
      <c r="A71" s="604" t="s">
        <v>2346</v>
      </c>
      <c r="B71" s="607" t="s">
        <v>2347</v>
      </c>
      <c r="C71" s="43">
        <v>0</v>
      </c>
      <c r="D71" s="43">
        <v>0.2</v>
      </c>
      <c r="E71" s="645">
        <v>0.94</v>
      </c>
      <c r="F71" s="640">
        <v>4700</v>
      </c>
      <c r="G71" s="641" t="s">
        <v>32</v>
      </c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3">
        <v>70680070366</v>
      </c>
      <c r="S71" s="1099"/>
      <c r="T71" s="641" t="s">
        <v>1690</v>
      </c>
      <c r="U71" s="642" t="s">
        <v>67</v>
      </c>
    </row>
    <row r="72" spans="1:21" x14ac:dyDescent="0.3">
      <c r="A72" s="605"/>
      <c r="B72" s="608"/>
      <c r="C72" s="48">
        <v>0.2</v>
      </c>
      <c r="D72" s="48">
        <v>0.37</v>
      </c>
      <c r="E72" s="654"/>
      <c r="F72" s="621"/>
      <c r="G72" s="63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4" t="s">
        <v>2348</v>
      </c>
      <c r="S72" s="1100"/>
      <c r="T72" s="633"/>
      <c r="U72" s="636"/>
    </row>
    <row r="73" spans="1:21" x14ac:dyDescent="0.3">
      <c r="A73" s="605"/>
      <c r="B73" s="608"/>
      <c r="C73" s="48">
        <v>0.37</v>
      </c>
      <c r="D73" s="48">
        <v>0.6</v>
      </c>
      <c r="E73" s="654"/>
      <c r="F73" s="621"/>
      <c r="G73" s="63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4">
        <v>70680070296</v>
      </c>
      <c r="S73" s="1100"/>
      <c r="T73" s="633"/>
      <c r="U73" s="636"/>
    </row>
    <row r="74" spans="1:21" ht="24.6" thickBot="1" x14ac:dyDescent="0.35">
      <c r="A74" s="606"/>
      <c r="B74" s="609"/>
      <c r="C74" s="46">
        <v>0.6</v>
      </c>
      <c r="D74" s="46">
        <v>0.94</v>
      </c>
      <c r="E74" s="646"/>
      <c r="F74" s="631"/>
      <c r="G74" s="634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20" t="s">
        <v>2349</v>
      </c>
      <c r="S74" s="1101"/>
      <c r="T74" s="634"/>
      <c r="U74" s="637"/>
    </row>
    <row r="75" spans="1:21" x14ac:dyDescent="0.3">
      <c r="A75" s="604" t="s">
        <v>2350</v>
      </c>
      <c r="B75" s="607" t="s">
        <v>2351</v>
      </c>
      <c r="C75" s="43">
        <v>0</v>
      </c>
      <c r="D75" s="43">
        <v>2.25</v>
      </c>
      <c r="E75" s="645">
        <v>2.56</v>
      </c>
      <c r="F75" s="640">
        <v>12800</v>
      </c>
      <c r="G75" s="641" t="s">
        <v>32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3">
        <v>70680010147</v>
      </c>
      <c r="S75" s="1099"/>
      <c r="T75" s="641" t="s">
        <v>1690</v>
      </c>
      <c r="U75" s="642"/>
    </row>
    <row r="76" spans="1:21" ht="24.6" thickBot="1" x14ac:dyDescent="0.35">
      <c r="A76" s="606"/>
      <c r="B76" s="609"/>
      <c r="C76" s="46">
        <v>2.25</v>
      </c>
      <c r="D76" s="46">
        <v>2.56</v>
      </c>
      <c r="E76" s="646"/>
      <c r="F76" s="631"/>
      <c r="G76" s="634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20" t="s">
        <v>2352</v>
      </c>
      <c r="S76" s="1101"/>
      <c r="T76" s="634"/>
      <c r="U76" s="637"/>
    </row>
    <row r="77" spans="1:21" x14ac:dyDescent="0.3">
      <c r="A77" s="604" t="s">
        <v>2353</v>
      </c>
      <c r="B77" s="607" t="s">
        <v>2354</v>
      </c>
      <c r="C77" s="43">
        <v>0</v>
      </c>
      <c r="D77" s="43">
        <v>1.97</v>
      </c>
      <c r="E77" s="645">
        <v>4.4119999999999999</v>
      </c>
      <c r="F77" s="640">
        <v>22050</v>
      </c>
      <c r="G77" s="641" t="s">
        <v>32</v>
      </c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3">
        <v>70680060050</v>
      </c>
      <c r="S77" s="1099"/>
      <c r="T77" s="641" t="s">
        <v>1690</v>
      </c>
      <c r="U77" s="744"/>
    </row>
    <row r="78" spans="1:21" ht="15" thickBot="1" x14ac:dyDescent="0.35">
      <c r="A78" s="606"/>
      <c r="B78" s="609"/>
      <c r="C78" s="46">
        <v>1.97</v>
      </c>
      <c r="D78" s="46">
        <v>4.4119999999999999</v>
      </c>
      <c r="E78" s="646"/>
      <c r="F78" s="631"/>
      <c r="G78" s="634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20">
        <v>70680010146</v>
      </c>
      <c r="S78" s="1101"/>
      <c r="T78" s="634"/>
      <c r="U78" s="745"/>
    </row>
    <row r="79" spans="1:21" ht="36.6" thickBot="1" x14ac:dyDescent="0.35">
      <c r="A79" s="22" t="s">
        <v>2355</v>
      </c>
      <c r="B79" s="23" t="s">
        <v>2356</v>
      </c>
      <c r="C79" s="41">
        <v>0</v>
      </c>
      <c r="D79" s="41">
        <v>2.8210000000000002</v>
      </c>
      <c r="E79" s="41">
        <f>D79-C79</f>
        <v>2.8210000000000002</v>
      </c>
      <c r="F79" s="27">
        <v>16920</v>
      </c>
      <c r="G79" s="3" t="s">
        <v>32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3">
        <v>70680100096</v>
      </c>
      <c r="S79" s="387"/>
      <c r="T79" s="3" t="s">
        <v>1690</v>
      </c>
      <c r="U79" s="110"/>
    </row>
    <row r="80" spans="1:21" x14ac:dyDescent="0.3">
      <c r="A80" s="604" t="s">
        <v>2357</v>
      </c>
      <c r="B80" s="607" t="s">
        <v>2358</v>
      </c>
      <c r="C80" s="43">
        <v>0</v>
      </c>
      <c r="D80" s="43">
        <v>0.41</v>
      </c>
      <c r="E80" s="645">
        <v>1.988</v>
      </c>
      <c r="F80" s="640">
        <v>9950</v>
      </c>
      <c r="G80" s="641" t="s">
        <v>32</v>
      </c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3">
        <v>70680070294</v>
      </c>
      <c r="S80" s="1099"/>
      <c r="T80" s="641" t="s">
        <v>1690</v>
      </c>
      <c r="U80" s="642"/>
    </row>
    <row r="81" spans="1:21" x14ac:dyDescent="0.3">
      <c r="A81" s="605"/>
      <c r="B81" s="608"/>
      <c r="C81" s="654">
        <v>0.41</v>
      </c>
      <c r="D81" s="654">
        <v>0.57999999999999996</v>
      </c>
      <c r="E81" s="654"/>
      <c r="F81" s="621"/>
      <c r="G81" s="63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 t="s">
        <v>2359</v>
      </c>
      <c r="S81" s="1100"/>
      <c r="T81" s="633"/>
      <c r="U81" s="636"/>
    </row>
    <row r="82" spans="1:21" x14ac:dyDescent="0.3">
      <c r="A82" s="605"/>
      <c r="B82" s="608"/>
      <c r="C82" s="654"/>
      <c r="D82" s="654"/>
      <c r="E82" s="654"/>
      <c r="F82" s="621"/>
      <c r="G82" s="63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4" t="s">
        <v>2360</v>
      </c>
      <c r="S82" s="1100"/>
      <c r="T82" s="633"/>
      <c r="U82" s="636"/>
    </row>
    <row r="83" spans="1:21" x14ac:dyDescent="0.3">
      <c r="A83" s="605"/>
      <c r="B83" s="608"/>
      <c r="C83" s="48">
        <v>0.57999999999999996</v>
      </c>
      <c r="D83" s="48">
        <v>1.37</v>
      </c>
      <c r="E83" s="654"/>
      <c r="F83" s="621"/>
      <c r="G83" s="63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4">
        <v>70680070332</v>
      </c>
      <c r="S83" s="1100"/>
      <c r="T83" s="633"/>
      <c r="U83" s="636"/>
    </row>
    <row r="84" spans="1:21" x14ac:dyDescent="0.3">
      <c r="A84" s="605"/>
      <c r="B84" s="608"/>
      <c r="C84" s="654">
        <v>1.37</v>
      </c>
      <c r="D84" s="654">
        <v>1.988</v>
      </c>
      <c r="E84" s="654"/>
      <c r="F84" s="621"/>
      <c r="G84" s="63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4" t="s">
        <v>2361</v>
      </c>
      <c r="S84" s="1100"/>
      <c r="T84" s="633"/>
      <c r="U84" s="636"/>
    </row>
    <row r="85" spans="1:21" x14ac:dyDescent="0.3">
      <c r="A85" s="605"/>
      <c r="B85" s="608"/>
      <c r="C85" s="654"/>
      <c r="D85" s="654"/>
      <c r="E85" s="654"/>
      <c r="F85" s="621"/>
      <c r="G85" s="63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4" t="s">
        <v>2362</v>
      </c>
      <c r="S85" s="1100"/>
      <c r="T85" s="633"/>
      <c r="U85" s="636"/>
    </row>
    <row r="86" spans="1:21" ht="15" thickBot="1" x14ac:dyDescent="0.35">
      <c r="A86" s="606"/>
      <c r="B86" s="609"/>
      <c r="C86" s="646"/>
      <c r="D86" s="646"/>
      <c r="E86" s="646"/>
      <c r="F86" s="631"/>
      <c r="G86" s="634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20" t="s">
        <v>2363</v>
      </c>
      <c r="S86" s="1101"/>
      <c r="T86" s="634"/>
      <c r="U86" s="637"/>
    </row>
    <row r="87" spans="1:21" x14ac:dyDescent="0.3">
      <c r="A87" s="604" t="s">
        <v>2364</v>
      </c>
      <c r="B87" s="607" t="s">
        <v>2365</v>
      </c>
      <c r="C87" s="43">
        <v>0</v>
      </c>
      <c r="D87" s="43">
        <v>0.2</v>
      </c>
      <c r="E87" s="645">
        <v>1.35</v>
      </c>
      <c r="F87" s="640">
        <v>6750</v>
      </c>
      <c r="G87" s="641" t="s">
        <v>32</v>
      </c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3">
        <v>70680070349</v>
      </c>
      <c r="S87" s="1099"/>
      <c r="T87" s="641" t="s">
        <v>1690</v>
      </c>
      <c r="U87" s="642"/>
    </row>
    <row r="88" spans="1:21" x14ac:dyDescent="0.3">
      <c r="A88" s="605"/>
      <c r="B88" s="608"/>
      <c r="C88" s="654">
        <v>0.2</v>
      </c>
      <c r="D88" s="654">
        <v>1.35</v>
      </c>
      <c r="E88" s="654"/>
      <c r="F88" s="621"/>
      <c r="G88" s="63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4" t="s">
        <v>2366</v>
      </c>
      <c r="S88" s="1100"/>
      <c r="T88" s="633"/>
      <c r="U88" s="636"/>
    </row>
    <row r="89" spans="1:21" ht="15" thickBot="1" x14ac:dyDescent="0.35">
      <c r="A89" s="606"/>
      <c r="B89" s="609"/>
      <c r="C89" s="646"/>
      <c r="D89" s="646"/>
      <c r="E89" s="646"/>
      <c r="F89" s="631"/>
      <c r="G89" s="634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20" t="s">
        <v>2367</v>
      </c>
      <c r="S89" s="1101"/>
      <c r="T89" s="634"/>
      <c r="U89" s="637"/>
    </row>
    <row r="90" spans="1:21" x14ac:dyDescent="0.3">
      <c r="A90" s="643" t="s">
        <v>2368</v>
      </c>
      <c r="B90" s="607" t="s">
        <v>2369</v>
      </c>
      <c r="C90" s="43">
        <v>0</v>
      </c>
      <c r="D90" s="43">
        <v>1.671</v>
      </c>
      <c r="E90" s="645">
        <v>5.04</v>
      </c>
      <c r="F90" s="647">
        <v>30240</v>
      </c>
      <c r="G90" s="641" t="s">
        <v>32</v>
      </c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>
        <v>70680110078</v>
      </c>
      <c r="S90" s="1099"/>
      <c r="T90" s="641" t="s">
        <v>1690</v>
      </c>
      <c r="U90" s="642" t="s">
        <v>67</v>
      </c>
    </row>
    <row r="91" spans="1:21" x14ac:dyDescent="0.3">
      <c r="A91" s="742"/>
      <c r="B91" s="608"/>
      <c r="C91" s="48">
        <v>1.67</v>
      </c>
      <c r="D91" s="48">
        <v>2.38</v>
      </c>
      <c r="E91" s="654"/>
      <c r="F91" s="655"/>
      <c r="G91" s="633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>
        <v>70680110095</v>
      </c>
      <c r="S91" s="1100"/>
      <c r="T91" s="633"/>
      <c r="U91" s="636"/>
    </row>
    <row r="92" spans="1:21" x14ac:dyDescent="0.3">
      <c r="A92" s="742"/>
      <c r="B92" s="608"/>
      <c r="C92" s="48">
        <v>2.38</v>
      </c>
      <c r="D92" s="48">
        <v>2.97</v>
      </c>
      <c r="E92" s="654"/>
      <c r="F92" s="655"/>
      <c r="G92" s="63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4" t="s">
        <v>2370</v>
      </c>
      <c r="S92" s="1100"/>
      <c r="T92" s="633"/>
      <c r="U92" s="636"/>
    </row>
    <row r="93" spans="1:21" x14ac:dyDescent="0.3">
      <c r="A93" s="742"/>
      <c r="B93" s="608"/>
      <c r="C93" s="48">
        <v>2.97</v>
      </c>
      <c r="D93" s="48">
        <v>3.16</v>
      </c>
      <c r="E93" s="654"/>
      <c r="F93" s="655"/>
      <c r="G93" s="63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4" t="s">
        <v>2371</v>
      </c>
      <c r="S93" s="1100"/>
      <c r="T93" s="633"/>
      <c r="U93" s="636"/>
    </row>
    <row r="94" spans="1:21" ht="15" thickBot="1" x14ac:dyDescent="0.35">
      <c r="A94" s="644"/>
      <c r="B94" s="609"/>
      <c r="C94" s="46">
        <v>3.16</v>
      </c>
      <c r="D94" s="46">
        <v>5.0430000000000001</v>
      </c>
      <c r="E94" s="646"/>
      <c r="F94" s="648"/>
      <c r="G94" s="634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20">
        <v>70680110094</v>
      </c>
      <c r="S94" s="1101"/>
      <c r="T94" s="634"/>
      <c r="U94" s="637"/>
    </row>
    <row r="95" spans="1:21" x14ac:dyDescent="0.3">
      <c r="A95" s="604" t="s">
        <v>2372</v>
      </c>
      <c r="B95" s="607" t="s">
        <v>2373</v>
      </c>
      <c r="C95" s="43">
        <v>0</v>
      </c>
      <c r="D95" s="43">
        <v>1.07</v>
      </c>
      <c r="E95" s="645">
        <v>1.7350000000000001</v>
      </c>
      <c r="F95" s="640">
        <v>10440</v>
      </c>
      <c r="G95" s="641" t="s">
        <v>32</v>
      </c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3">
        <v>70680100086</v>
      </c>
      <c r="S95" s="1099"/>
      <c r="T95" s="641" t="s">
        <v>1690</v>
      </c>
      <c r="U95" s="744"/>
    </row>
    <row r="96" spans="1:21" x14ac:dyDescent="0.3">
      <c r="A96" s="605"/>
      <c r="B96" s="608"/>
      <c r="C96" s="654">
        <v>1.07</v>
      </c>
      <c r="D96" s="654">
        <v>1.7350000000000001</v>
      </c>
      <c r="E96" s="654"/>
      <c r="F96" s="621"/>
      <c r="G96" s="63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4" t="s">
        <v>2374</v>
      </c>
      <c r="S96" s="1100"/>
      <c r="T96" s="633"/>
      <c r="U96" s="750"/>
    </row>
    <row r="97" spans="1:22" ht="15" thickBot="1" x14ac:dyDescent="0.35">
      <c r="A97" s="606"/>
      <c r="B97" s="609"/>
      <c r="C97" s="646"/>
      <c r="D97" s="646"/>
      <c r="E97" s="646"/>
      <c r="F97" s="631"/>
      <c r="G97" s="634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20" t="s">
        <v>2375</v>
      </c>
      <c r="S97" s="1101"/>
      <c r="T97" s="634"/>
      <c r="U97" s="745"/>
    </row>
    <row r="98" spans="1:22" x14ac:dyDescent="0.3">
      <c r="A98" s="604" t="s">
        <v>2376</v>
      </c>
      <c r="B98" s="607" t="s">
        <v>2377</v>
      </c>
      <c r="C98" s="43">
        <v>0</v>
      </c>
      <c r="D98" s="43">
        <v>0.9</v>
      </c>
      <c r="E98" s="645">
        <v>1.37</v>
      </c>
      <c r="F98" s="641">
        <v>6850</v>
      </c>
      <c r="G98" s="641" t="s">
        <v>32</v>
      </c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3">
        <v>70680130217</v>
      </c>
      <c r="S98" s="1099"/>
      <c r="T98" s="641" t="s">
        <v>1690</v>
      </c>
      <c r="U98" s="642"/>
      <c r="V98" s="388"/>
    </row>
    <row r="99" spans="1:22" ht="36.6" thickBot="1" x14ac:dyDescent="0.35">
      <c r="A99" s="606"/>
      <c r="B99" s="609"/>
      <c r="C99" s="46">
        <v>0.9</v>
      </c>
      <c r="D99" s="46">
        <v>1.37</v>
      </c>
      <c r="E99" s="646"/>
      <c r="F99" s="634"/>
      <c r="G99" s="634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20" t="s">
        <v>2378</v>
      </c>
      <c r="S99" s="1101"/>
      <c r="T99" s="634"/>
      <c r="U99" s="637"/>
      <c r="V99" s="388"/>
    </row>
    <row r="100" spans="1:22" ht="48" x14ac:dyDescent="0.3">
      <c r="A100" s="604" t="s">
        <v>2379</v>
      </c>
      <c r="B100" s="607" t="s">
        <v>2380</v>
      </c>
      <c r="C100" s="43">
        <v>0</v>
      </c>
      <c r="D100" s="43">
        <v>0.56000000000000005</v>
      </c>
      <c r="E100" s="645">
        <v>0.81</v>
      </c>
      <c r="F100" s="641">
        <v>4050</v>
      </c>
      <c r="G100" s="641" t="s">
        <v>32</v>
      </c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3" t="s">
        <v>2381</v>
      </c>
      <c r="S100" s="1099"/>
      <c r="T100" s="641" t="s">
        <v>1690</v>
      </c>
      <c r="U100" s="744"/>
    </row>
    <row r="101" spans="1:22" ht="15" thickBot="1" x14ac:dyDescent="0.35">
      <c r="A101" s="606"/>
      <c r="B101" s="609"/>
      <c r="C101" s="46">
        <v>0.56000000000000005</v>
      </c>
      <c r="D101" s="46">
        <v>0.81399999999999995</v>
      </c>
      <c r="E101" s="646"/>
      <c r="F101" s="634"/>
      <c r="G101" s="634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20">
        <v>70680080037</v>
      </c>
      <c r="S101" s="1101"/>
      <c r="T101" s="634"/>
      <c r="U101" s="745"/>
    </row>
    <row r="102" spans="1:22" x14ac:dyDescent="0.3">
      <c r="A102" s="604" t="s">
        <v>2382</v>
      </c>
      <c r="B102" s="607" t="s">
        <v>2383</v>
      </c>
      <c r="C102" s="43">
        <v>0</v>
      </c>
      <c r="D102" s="43">
        <v>1.44</v>
      </c>
      <c r="E102" s="645">
        <v>2.7250000000000001</v>
      </c>
      <c r="F102" s="640">
        <v>16380</v>
      </c>
      <c r="G102" s="641" t="s">
        <v>32</v>
      </c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3">
        <v>70680130209</v>
      </c>
      <c r="S102" s="1099"/>
      <c r="T102" s="641" t="s">
        <v>1690</v>
      </c>
      <c r="U102" s="642"/>
    </row>
    <row r="103" spans="1:22" ht="15" thickBot="1" x14ac:dyDescent="0.35">
      <c r="A103" s="606"/>
      <c r="B103" s="609"/>
      <c r="C103" s="46">
        <v>1.44</v>
      </c>
      <c r="D103" s="46">
        <v>2.7250000000000001</v>
      </c>
      <c r="E103" s="646"/>
      <c r="F103" s="631"/>
      <c r="G103" s="634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20">
        <v>70680140050</v>
      </c>
      <c r="S103" s="1101"/>
      <c r="T103" s="634"/>
      <c r="U103" s="637"/>
    </row>
    <row r="104" spans="1:22" ht="36.6" thickBot="1" x14ac:dyDescent="0.35">
      <c r="A104" s="22" t="s">
        <v>2384</v>
      </c>
      <c r="B104" s="23" t="s">
        <v>2385</v>
      </c>
      <c r="C104" s="41">
        <v>0</v>
      </c>
      <c r="D104" s="41">
        <v>0.54</v>
      </c>
      <c r="E104" s="41">
        <v>0.54</v>
      </c>
      <c r="F104" s="3">
        <v>2700</v>
      </c>
      <c r="G104" s="3" t="s">
        <v>32</v>
      </c>
      <c r="H104" s="26"/>
      <c r="I104" s="27"/>
      <c r="J104" s="27"/>
      <c r="K104" s="27"/>
      <c r="L104" s="27"/>
      <c r="M104" s="27"/>
      <c r="N104" s="27"/>
      <c r="O104" s="27"/>
      <c r="P104" s="27"/>
      <c r="Q104" s="27"/>
      <c r="R104" s="3" t="s">
        <v>2386</v>
      </c>
      <c r="S104" s="387"/>
      <c r="T104" s="3" t="s">
        <v>1690</v>
      </c>
      <c r="U104" s="110"/>
    </row>
    <row r="105" spans="1:22" ht="36.6" thickBot="1" x14ac:dyDescent="0.35">
      <c r="A105" s="22" t="s">
        <v>2387</v>
      </c>
      <c r="B105" s="23" t="s">
        <v>2388</v>
      </c>
      <c r="C105" s="41">
        <v>0</v>
      </c>
      <c r="D105" s="41">
        <v>0.48499999999999999</v>
      </c>
      <c r="E105" s="41">
        <f>D105-C105</f>
        <v>0.48499999999999999</v>
      </c>
      <c r="F105" s="3">
        <v>2450</v>
      </c>
      <c r="G105" s="3" t="s">
        <v>32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3" t="s">
        <v>2389</v>
      </c>
      <c r="S105" s="387"/>
      <c r="T105" s="3" t="s">
        <v>1690</v>
      </c>
      <c r="U105" s="110"/>
    </row>
    <row r="106" spans="1:22" ht="36.6" thickBot="1" x14ac:dyDescent="0.35">
      <c r="A106" s="22" t="s">
        <v>2390</v>
      </c>
      <c r="B106" s="23" t="s">
        <v>2391</v>
      </c>
      <c r="C106" s="41">
        <v>0</v>
      </c>
      <c r="D106" s="41">
        <v>0.29699999999999999</v>
      </c>
      <c r="E106" s="41">
        <f>D106-C106</f>
        <v>0.29699999999999999</v>
      </c>
      <c r="F106" s="3">
        <v>1800</v>
      </c>
      <c r="G106" s="3" t="s">
        <v>32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3">
        <v>70680130241</v>
      </c>
      <c r="S106" s="27" t="s">
        <v>2276</v>
      </c>
      <c r="T106" s="3" t="s">
        <v>1690</v>
      </c>
      <c r="U106" s="5"/>
    </row>
    <row r="107" spans="1:22" x14ac:dyDescent="0.3">
      <c r="A107" s="604" t="s">
        <v>2392</v>
      </c>
      <c r="B107" s="607" t="s">
        <v>2393</v>
      </c>
      <c r="C107" s="43">
        <v>0</v>
      </c>
      <c r="D107" s="43">
        <v>0.16</v>
      </c>
      <c r="E107" s="645">
        <v>0.44</v>
      </c>
      <c r="F107" s="640">
        <v>2200</v>
      </c>
      <c r="G107" s="641" t="s">
        <v>32</v>
      </c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3">
        <v>70680010147</v>
      </c>
      <c r="S107" s="641"/>
      <c r="T107" s="641" t="s">
        <v>1690</v>
      </c>
      <c r="U107" s="642"/>
    </row>
    <row r="108" spans="1:22" ht="24.6" thickBot="1" x14ac:dyDescent="0.35">
      <c r="A108" s="606"/>
      <c r="B108" s="609"/>
      <c r="C108" s="46">
        <v>0.16</v>
      </c>
      <c r="D108" s="46">
        <v>0.44</v>
      </c>
      <c r="E108" s="646"/>
      <c r="F108" s="631"/>
      <c r="G108" s="634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20" t="s">
        <v>2394</v>
      </c>
      <c r="S108" s="634"/>
      <c r="T108" s="634"/>
      <c r="U108" s="637"/>
    </row>
    <row r="109" spans="1:22" ht="48.6" thickBot="1" x14ac:dyDescent="0.35">
      <c r="A109" s="22" t="s">
        <v>2395</v>
      </c>
      <c r="B109" s="23" t="s">
        <v>2396</v>
      </c>
      <c r="C109" s="41">
        <v>0</v>
      </c>
      <c r="D109" s="3">
        <v>0.97</v>
      </c>
      <c r="E109" s="3">
        <v>0.97</v>
      </c>
      <c r="F109" s="3">
        <v>4950</v>
      </c>
      <c r="G109" s="3" t="s">
        <v>32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 t="s">
        <v>2397</v>
      </c>
      <c r="S109" s="3"/>
      <c r="T109" s="3" t="s">
        <v>2398</v>
      </c>
      <c r="U109" s="5"/>
    </row>
    <row r="110" spans="1:22" x14ac:dyDescent="0.3">
      <c r="A110" s="389"/>
      <c r="B110" s="135"/>
      <c r="C110" s="135"/>
      <c r="D110" s="135"/>
      <c r="E110" s="390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391"/>
    </row>
    <row r="111" spans="1:22" ht="24.6" x14ac:dyDescent="0.3">
      <c r="A111" s="135"/>
      <c r="B111" s="61" t="s">
        <v>202</v>
      </c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</row>
    <row r="112" spans="1:22" ht="24.6" x14ac:dyDescent="0.3">
      <c r="A112" s="135"/>
      <c r="B112" s="61" t="s">
        <v>203</v>
      </c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</row>
    <row r="113" spans="1:32" ht="24.6" x14ac:dyDescent="0.3">
      <c r="A113" s="135"/>
      <c r="B113" s="61" t="s">
        <v>204</v>
      </c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</row>
    <row r="114" spans="1:32" ht="24.6" x14ac:dyDescent="0.3">
      <c r="B114" s="61" t="s">
        <v>205</v>
      </c>
    </row>
    <row r="116" spans="1:32" s="59" customFormat="1" ht="27.6" customHeight="1" x14ac:dyDescent="0.25">
      <c r="A116" s="509"/>
      <c r="B116" s="509"/>
      <c r="C116" s="512" t="s">
        <v>3985</v>
      </c>
      <c r="D116" s="543" t="s">
        <v>3986</v>
      </c>
      <c r="E116" s="543"/>
      <c r="F116" s="543"/>
      <c r="G116" s="509"/>
      <c r="H116" s="509"/>
      <c r="I116" s="509"/>
      <c r="J116" s="509"/>
      <c r="K116" s="509"/>
      <c r="L116" s="509"/>
      <c r="M116" s="509"/>
      <c r="N116" s="509"/>
      <c r="O116" s="509"/>
      <c r="P116" s="509"/>
      <c r="Q116" s="509"/>
      <c r="R116" s="509"/>
      <c r="S116" s="509"/>
      <c r="T116" s="509"/>
      <c r="U116" s="509"/>
      <c r="V116" s="509"/>
      <c r="W116" s="509"/>
      <c r="X116" s="509"/>
      <c r="Y116" s="509"/>
      <c r="Z116" s="509"/>
      <c r="AA116" s="509"/>
      <c r="AB116" s="509"/>
      <c r="AC116" s="509"/>
      <c r="AD116" s="509"/>
      <c r="AE116" s="510"/>
      <c r="AF116" s="510"/>
    </row>
    <row r="117" spans="1:32" s="59" customFormat="1" ht="13.8" x14ac:dyDescent="0.25">
      <c r="A117" s="509"/>
      <c r="B117" s="509"/>
      <c r="C117" s="509"/>
      <c r="D117" s="509"/>
      <c r="E117" s="509"/>
      <c r="F117" s="509"/>
      <c r="G117" s="509"/>
      <c r="H117" s="509"/>
      <c r="I117" s="509"/>
      <c r="J117" s="509"/>
      <c r="K117" s="509"/>
      <c r="L117" s="509"/>
      <c r="M117" s="509"/>
      <c r="N117" s="509"/>
      <c r="O117" s="509"/>
      <c r="P117" s="509"/>
      <c r="Q117" s="509"/>
      <c r="R117" s="509"/>
      <c r="S117" s="509"/>
      <c r="T117" s="509"/>
      <c r="U117" s="509"/>
      <c r="V117" s="509"/>
      <c r="W117" s="509"/>
      <c r="X117" s="509"/>
      <c r="Y117" s="509"/>
      <c r="Z117" s="509"/>
      <c r="AA117" s="509"/>
      <c r="AB117" s="509"/>
      <c r="AC117" s="509"/>
      <c r="AD117" s="509"/>
      <c r="AE117" s="510"/>
      <c r="AF117" s="510"/>
    </row>
    <row r="118" spans="1:32" s="59" customFormat="1" ht="13.8" x14ac:dyDescent="0.25">
      <c r="A118" s="509"/>
      <c r="B118" s="509"/>
      <c r="C118" s="509"/>
      <c r="D118" s="509"/>
      <c r="E118" s="509"/>
      <c r="F118" s="509"/>
      <c r="G118" s="509"/>
      <c r="H118" s="509"/>
      <c r="I118" s="509"/>
      <c r="J118" s="509"/>
      <c r="K118" s="509"/>
      <c r="L118" s="509"/>
      <c r="M118" s="509"/>
      <c r="N118" s="509"/>
      <c r="O118" s="509"/>
      <c r="P118" s="509"/>
      <c r="Q118" s="509"/>
      <c r="R118" s="509"/>
      <c r="S118" s="509"/>
      <c r="T118" s="509"/>
      <c r="U118" s="509"/>
      <c r="V118" s="509"/>
      <c r="W118" s="509"/>
      <c r="X118" s="509"/>
      <c r="Y118" s="509"/>
      <c r="Z118" s="509"/>
      <c r="AA118" s="509"/>
      <c r="AB118" s="509"/>
      <c r="AC118" s="509"/>
      <c r="AD118" s="509"/>
      <c r="AE118" s="417"/>
      <c r="AF118" s="510"/>
    </row>
    <row r="119" spans="1:32" s="59" customFormat="1" ht="13.8" x14ac:dyDescent="0.25">
      <c r="B119" s="60"/>
      <c r="C119" s="438" t="s">
        <v>3989</v>
      </c>
      <c r="D119" s="544" t="s">
        <v>3990</v>
      </c>
      <c r="E119" s="544"/>
      <c r="F119" s="544"/>
      <c r="G119" s="544"/>
      <c r="H119" s="544"/>
      <c r="I119" s="544"/>
      <c r="T119" s="60"/>
      <c r="U119" s="60"/>
    </row>
    <row r="120" spans="1:32" s="59" customFormat="1" ht="13.95" customHeight="1" x14ac:dyDescent="0.25">
      <c r="B120" s="60"/>
      <c r="C120" s="438" t="s">
        <v>3987</v>
      </c>
      <c r="D120" s="553" t="s">
        <v>3988</v>
      </c>
      <c r="E120" s="553"/>
      <c r="F120" s="553"/>
      <c r="G120" s="553"/>
      <c r="H120" s="553"/>
      <c r="I120" s="553"/>
      <c r="T120" s="60"/>
      <c r="U120" s="60"/>
    </row>
    <row r="121" spans="1:32" s="59" customFormat="1" ht="14.4" customHeight="1" x14ac:dyDescent="0.25">
      <c r="T121" s="60"/>
      <c r="U121" s="60"/>
    </row>
    <row r="122" spans="1:32" s="59" customFormat="1" ht="13.8" x14ac:dyDescent="0.25">
      <c r="A122" s="469"/>
      <c r="B122" s="743" t="s">
        <v>3984</v>
      </c>
      <c r="C122" s="743"/>
      <c r="D122" s="743"/>
      <c r="E122" s="743"/>
      <c r="F122" s="743"/>
      <c r="G122" s="743"/>
      <c r="H122" s="743"/>
      <c r="I122" s="743"/>
      <c r="T122" s="304"/>
      <c r="U122" s="304"/>
    </row>
  </sheetData>
  <mergeCells count="278">
    <mergeCell ref="T107:T108"/>
    <mergeCell ref="U107:U108"/>
    <mergeCell ref="A107:A108"/>
    <mergeCell ref="B107:B108"/>
    <mergeCell ref="E107:E108"/>
    <mergeCell ref="F107:F108"/>
    <mergeCell ref="G107:G108"/>
    <mergeCell ref="S107:S108"/>
    <mergeCell ref="A100:A101"/>
    <mergeCell ref="B100:B101"/>
    <mergeCell ref="E100:E101"/>
    <mergeCell ref="F100:F101"/>
    <mergeCell ref="G100:G101"/>
    <mergeCell ref="S100:S101"/>
    <mergeCell ref="T100:T101"/>
    <mergeCell ref="U100:U101"/>
    <mergeCell ref="A102:A103"/>
    <mergeCell ref="B102:B103"/>
    <mergeCell ref="E102:E103"/>
    <mergeCell ref="F102:F103"/>
    <mergeCell ref="G102:G103"/>
    <mergeCell ref="S102:S103"/>
    <mergeCell ref="T102:T103"/>
    <mergeCell ref="U102:U103"/>
    <mergeCell ref="C96:C97"/>
    <mergeCell ref="D96:D97"/>
    <mergeCell ref="A98:A99"/>
    <mergeCell ref="B98:B99"/>
    <mergeCell ref="E98:E99"/>
    <mergeCell ref="F98:F99"/>
    <mergeCell ref="T90:T94"/>
    <mergeCell ref="U90:U94"/>
    <mergeCell ref="A95:A97"/>
    <mergeCell ref="B95:B97"/>
    <mergeCell ref="E95:E97"/>
    <mergeCell ref="F95:F97"/>
    <mergeCell ref="G95:G97"/>
    <mergeCell ref="S95:S97"/>
    <mergeCell ref="T95:T97"/>
    <mergeCell ref="U95:U97"/>
    <mergeCell ref="G98:G99"/>
    <mergeCell ref="S98:S99"/>
    <mergeCell ref="T98:T99"/>
    <mergeCell ref="U98:U99"/>
    <mergeCell ref="T87:T89"/>
    <mergeCell ref="U87:U89"/>
    <mergeCell ref="C88:C89"/>
    <mergeCell ref="D88:D89"/>
    <mergeCell ref="A90:A94"/>
    <mergeCell ref="B90:B94"/>
    <mergeCell ref="E90:E94"/>
    <mergeCell ref="F90:F94"/>
    <mergeCell ref="G90:G94"/>
    <mergeCell ref="S90:S94"/>
    <mergeCell ref="A87:A89"/>
    <mergeCell ref="B87:B89"/>
    <mergeCell ref="E87:E89"/>
    <mergeCell ref="F87:F89"/>
    <mergeCell ref="G87:G89"/>
    <mergeCell ref="S87:S89"/>
    <mergeCell ref="T80:T86"/>
    <mergeCell ref="U80:U86"/>
    <mergeCell ref="C81:C82"/>
    <mergeCell ref="D81:D82"/>
    <mergeCell ref="C84:C86"/>
    <mergeCell ref="D84:D86"/>
    <mergeCell ref="A80:A86"/>
    <mergeCell ref="B80:B86"/>
    <mergeCell ref="E80:E86"/>
    <mergeCell ref="F80:F86"/>
    <mergeCell ref="G80:G86"/>
    <mergeCell ref="S80:S86"/>
    <mergeCell ref="T75:T76"/>
    <mergeCell ref="U75:U76"/>
    <mergeCell ref="A77:A78"/>
    <mergeCell ref="B77:B78"/>
    <mergeCell ref="E77:E78"/>
    <mergeCell ref="F77:F78"/>
    <mergeCell ref="G77:G78"/>
    <mergeCell ref="S77:S78"/>
    <mergeCell ref="T77:T78"/>
    <mergeCell ref="U77:U78"/>
    <mergeCell ref="A75:A76"/>
    <mergeCell ref="B75:B76"/>
    <mergeCell ref="E75:E76"/>
    <mergeCell ref="F75:F76"/>
    <mergeCell ref="G75:G76"/>
    <mergeCell ref="S75:S76"/>
    <mergeCell ref="T69:T70"/>
    <mergeCell ref="U69:U70"/>
    <mergeCell ref="A71:A74"/>
    <mergeCell ref="B71:B74"/>
    <mergeCell ref="E71:E74"/>
    <mergeCell ref="F71:F74"/>
    <mergeCell ref="G71:G74"/>
    <mergeCell ref="S71:S74"/>
    <mergeCell ref="T71:T74"/>
    <mergeCell ref="U71:U74"/>
    <mergeCell ref="A69:A70"/>
    <mergeCell ref="B69:B70"/>
    <mergeCell ref="E69:E70"/>
    <mergeCell ref="F69:F70"/>
    <mergeCell ref="G69:G70"/>
    <mergeCell ref="S69:S70"/>
    <mergeCell ref="G51:G55"/>
    <mergeCell ref="S51:S55"/>
    <mergeCell ref="E65:E68"/>
    <mergeCell ref="F65:F68"/>
    <mergeCell ref="G65:G68"/>
    <mergeCell ref="S65:S68"/>
    <mergeCell ref="T65:T68"/>
    <mergeCell ref="U65:U68"/>
    <mergeCell ref="C57:C59"/>
    <mergeCell ref="D57:D59"/>
    <mergeCell ref="C61:C63"/>
    <mergeCell ref="D61:D63"/>
    <mergeCell ref="A48:A49"/>
    <mergeCell ref="B48:B49"/>
    <mergeCell ref="E48:E49"/>
    <mergeCell ref="F48:F49"/>
    <mergeCell ref="G48:G49"/>
    <mergeCell ref="S48:S49"/>
    <mergeCell ref="T48:T49"/>
    <mergeCell ref="U48:U49"/>
    <mergeCell ref="A65:A68"/>
    <mergeCell ref="B65:B68"/>
    <mergeCell ref="T51:T55"/>
    <mergeCell ref="U51:U55"/>
    <mergeCell ref="A56:A64"/>
    <mergeCell ref="B56:B64"/>
    <mergeCell ref="E56:E64"/>
    <mergeCell ref="F56:F64"/>
    <mergeCell ref="G56:G64"/>
    <mergeCell ref="S56:S64"/>
    <mergeCell ref="T56:T64"/>
    <mergeCell ref="U56:U64"/>
    <mergeCell ref="A51:A55"/>
    <mergeCell ref="B51:B55"/>
    <mergeCell ref="E51:E55"/>
    <mergeCell ref="F51:F55"/>
    <mergeCell ref="T43:T45"/>
    <mergeCell ref="U43:U45"/>
    <mergeCell ref="R44:R45"/>
    <mergeCell ref="A46:A47"/>
    <mergeCell ref="B46:B47"/>
    <mergeCell ref="E46:E47"/>
    <mergeCell ref="F46:F47"/>
    <mergeCell ref="G46:G47"/>
    <mergeCell ref="S46:S47"/>
    <mergeCell ref="T46:T47"/>
    <mergeCell ref="U46:U47"/>
    <mergeCell ref="A43:A45"/>
    <mergeCell ref="B43:B45"/>
    <mergeCell ref="E43:E45"/>
    <mergeCell ref="F43:F45"/>
    <mergeCell ref="G43:G45"/>
    <mergeCell ref="S43:S45"/>
    <mergeCell ref="A37:A42"/>
    <mergeCell ref="B37:B42"/>
    <mergeCell ref="E37:E42"/>
    <mergeCell ref="F37:F42"/>
    <mergeCell ref="G37:G42"/>
    <mergeCell ref="S37:S42"/>
    <mergeCell ref="A35:A36"/>
    <mergeCell ref="B35:B36"/>
    <mergeCell ref="E35:E36"/>
    <mergeCell ref="F35:F36"/>
    <mergeCell ref="G35:G36"/>
    <mergeCell ref="S35:S36"/>
    <mergeCell ref="T35:T36"/>
    <mergeCell ref="U35:U36"/>
    <mergeCell ref="T37:T42"/>
    <mergeCell ref="U37:U42"/>
    <mergeCell ref="C38:C41"/>
    <mergeCell ref="D38:D41"/>
    <mergeCell ref="T30:T32"/>
    <mergeCell ref="U30:U32"/>
    <mergeCell ref="C31:C32"/>
    <mergeCell ref="D31:D32"/>
    <mergeCell ref="T33:T34"/>
    <mergeCell ref="U33:U34"/>
    <mergeCell ref="A33:A34"/>
    <mergeCell ref="B33:B34"/>
    <mergeCell ref="E33:E34"/>
    <mergeCell ref="F33:F34"/>
    <mergeCell ref="G33:G34"/>
    <mergeCell ref="S33:S34"/>
    <mergeCell ref="A30:A32"/>
    <mergeCell ref="B30:B32"/>
    <mergeCell ref="E30:E32"/>
    <mergeCell ref="F30:F32"/>
    <mergeCell ref="G30:G32"/>
    <mergeCell ref="S30:S32"/>
    <mergeCell ref="T22:T23"/>
    <mergeCell ref="U22:U23"/>
    <mergeCell ref="A26:A27"/>
    <mergeCell ref="B26:B27"/>
    <mergeCell ref="E26:E27"/>
    <mergeCell ref="F26:F27"/>
    <mergeCell ref="S26:S27"/>
    <mergeCell ref="T26:T27"/>
    <mergeCell ref="U26:U27"/>
    <mergeCell ref="A22:A23"/>
    <mergeCell ref="B22:B23"/>
    <mergeCell ref="E22:E23"/>
    <mergeCell ref="F22:F23"/>
    <mergeCell ref="G22:G23"/>
    <mergeCell ref="S22:S23"/>
    <mergeCell ref="G26:G27"/>
    <mergeCell ref="A19:A20"/>
    <mergeCell ref="B19:B20"/>
    <mergeCell ref="E19:E20"/>
    <mergeCell ref="F19:F20"/>
    <mergeCell ref="G19:G20"/>
    <mergeCell ref="S19:S20"/>
    <mergeCell ref="T19:T20"/>
    <mergeCell ref="U19:U20"/>
    <mergeCell ref="A17:A18"/>
    <mergeCell ref="B17:B18"/>
    <mergeCell ref="E17:E18"/>
    <mergeCell ref="F17:F18"/>
    <mergeCell ref="G17:G18"/>
    <mergeCell ref="S17:S18"/>
    <mergeCell ref="A15:A16"/>
    <mergeCell ref="B15:B16"/>
    <mergeCell ref="E15:E16"/>
    <mergeCell ref="F15:F16"/>
    <mergeCell ref="G15:G16"/>
    <mergeCell ref="S15:S16"/>
    <mergeCell ref="T15:T16"/>
    <mergeCell ref="U15:U16"/>
    <mergeCell ref="T17:T18"/>
    <mergeCell ref="U17:U18"/>
    <mergeCell ref="S11:S12"/>
    <mergeCell ref="T11:T12"/>
    <mergeCell ref="U11:U12"/>
    <mergeCell ref="A13:A14"/>
    <mergeCell ref="B13:B14"/>
    <mergeCell ref="E13:E14"/>
    <mergeCell ref="F13:F14"/>
    <mergeCell ref="G13:G14"/>
    <mergeCell ref="S13:S14"/>
    <mergeCell ref="T13:T14"/>
    <mergeCell ref="U13:U14"/>
    <mergeCell ref="N4:N5"/>
    <mergeCell ref="O4:O5"/>
    <mergeCell ref="P4:P5"/>
    <mergeCell ref="Q4:Q5"/>
    <mergeCell ref="R4:R5"/>
    <mergeCell ref="A11:A12"/>
    <mergeCell ref="B11:B12"/>
    <mergeCell ref="E11:E12"/>
    <mergeCell ref="F11:F12"/>
    <mergeCell ref="R11:R12"/>
    <mergeCell ref="D116:F116"/>
    <mergeCell ref="D119:I119"/>
    <mergeCell ref="D120:I120"/>
    <mergeCell ref="B122:I122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A5635-0128-4F64-9F2B-3B54FF829A4D}">
  <dimension ref="A1:AF92"/>
  <sheetViews>
    <sheetView workbookViewId="0">
      <selection activeCell="V4" sqref="V4"/>
    </sheetView>
  </sheetViews>
  <sheetFormatPr defaultColWidth="8.88671875" defaultRowHeight="14.4" x14ac:dyDescent="0.3"/>
  <cols>
    <col min="1" max="1" width="16.109375" style="400" customWidth="1"/>
    <col min="2" max="2" width="32.6640625" style="164" bestFit="1" customWidth="1"/>
    <col min="3" max="3" width="10.109375" style="164" customWidth="1"/>
    <col min="4" max="5" width="8.88671875" style="164"/>
    <col min="6" max="6" width="10.109375" style="74" customWidth="1"/>
    <col min="7" max="7" width="8.88671875" style="164"/>
    <col min="8" max="8" width="10.6640625" style="164" customWidth="1"/>
    <col min="9" max="9" width="20" style="164" customWidth="1"/>
    <col min="10" max="10" width="12.5546875" style="164" customWidth="1"/>
    <col min="11" max="11" width="8.88671875" style="164"/>
    <col min="12" max="12" width="9.6640625" style="164" customWidth="1"/>
    <col min="13" max="13" width="11.5546875" style="164" customWidth="1"/>
    <col min="14" max="14" width="11.88671875" style="164" customWidth="1"/>
    <col min="15" max="15" width="12.6640625" style="164" customWidth="1"/>
    <col min="16" max="16" width="8.88671875" style="164"/>
    <col min="17" max="17" width="15.6640625" style="164" customWidth="1"/>
    <col min="18" max="18" width="14" style="164" customWidth="1"/>
    <col min="19" max="19" width="19" style="164" customWidth="1"/>
    <col min="20" max="20" width="36.109375" style="165" customWidth="1"/>
    <col min="21" max="21" width="17.5546875" style="164" customWidth="1"/>
    <col min="22" max="16384" width="8.88671875" style="164"/>
  </cols>
  <sheetData>
    <row r="1" spans="1:21" ht="18" thickBot="1" x14ac:dyDescent="0.35">
      <c r="A1" s="589" t="s">
        <v>2399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7</v>
      </c>
    </row>
    <row r="3" spans="1:21" ht="24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ht="15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ht="36.6" thickBot="1" x14ac:dyDescent="0.35">
      <c r="A7" s="81" t="s">
        <v>2400</v>
      </c>
      <c r="B7" s="392" t="s">
        <v>213</v>
      </c>
      <c r="C7" s="393">
        <v>0</v>
      </c>
      <c r="D7" s="394">
        <v>0.25600000000000001</v>
      </c>
      <c r="E7" s="394">
        <v>0.25600000000000001</v>
      </c>
      <c r="F7" s="94">
        <v>1280</v>
      </c>
      <c r="G7" s="57" t="s">
        <v>32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94">
        <v>70130010082</v>
      </c>
      <c r="S7" s="57" t="s">
        <v>2401</v>
      </c>
      <c r="T7" s="57" t="s">
        <v>1504</v>
      </c>
      <c r="U7" s="342"/>
    </row>
    <row r="8" spans="1:21" x14ac:dyDescent="0.3">
      <c r="A8" s="643" t="s">
        <v>2402</v>
      </c>
      <c r="B8" s="963" t="s">
        <v>2403</v>
      </c>
      <c r="C8" s="395">
        <v>0</v>
      </c>
      <c r="D8" s="32">
        <v>8.7999999999999995E-2</v>
      </c>
      <c r="E8" s="615">
        <v>0.35899999999999999</v>
      </c>
      <c r="F8" s="34">
        <v>352</v>
      </c>
      <c r="G8" s="34" t="s">
        <v>51</v>
      </c>
      <c r="H8" s="34"/>
      <c r="I8" s="34"/>
      <c r="J8" s="34"/>
      <c r="K8" s="34"/>
      <c r="L8" s="34"/>
      <c r="M8" s="34"/>
      <c r="N8" s="34"/>
      <c r="O8" s="34"/>
      <c r="P8" s="34"/>
      <c r="Q8" s="34"/>
      <c r="R8" s="640">
        <v>70130050119</v>
      </c>
      <c r="S8" s="641" t="s">
        <v>2401</v>
      </c>
      <c r="T8" s="641" t="s">
        <v>1504</v>
      </c>
      <c r="U8" s="744"/>
    </row>
    <row r="9" spans="1:21" ht="86.4" customHeight="1" thickBot="1" x14ac:dyDescent="0.35">
      <c r="A9" s="644"/>
      <c r="B9" s="964"/>
      <c r="C9" s="18">
        <v>8.7999999999999995E-2</v>
      </c>
      <c r="D9" s="18">
        <v>0.35899999999999999</v>
      </c>
      <c r="E9" s="639"/>
      <c r="F9" s="19">
        <v>1084</v>
      </c>
      <c r="G9" s="20" t="s">
        <v>32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631"/>
      <c r="S9" s="634"/>
      <c r="T9" s="634"/>
      <c r="U9" s="745"/>
    </row>
    <row r="10" spans="1:21" ht="36.6" thickBot="1" x14ac:dyDescent="0.35">
      <c r="A10" s="40" t="s">
        <v>2404</v>
      </c>
      <c r="B10" s="305" t="s">
        <v>2405</v>
      </c>
      <c r="C10" s="396">
        <v>0</v>
      </c>
      <c r="D10" s="26">
        <v>0.78</v>
      </c>
      <c r="E10" s="26">
        <v>0.78</v>
      </c>
      <c r="F10" s="27">
        <v>4680</v>
      </c>
      <c r="G10" s="27" t="s">
        <v>51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>
        <v>70130030030</v>
      </c>
      <c r="S10" s="3" t="s">
        <v>2401</v>
      </c>
      <c r="T10" s="3" t="s">
        <v>1504</v>
      </c>
      <c r="U10" s="5"/>
    </row>
    <row r="11" spans="1:21" ht="36.6" thickBot="1" x14ac:dyDescent="0.35">
      <c r="A11" s="40" t="s">
        <v>2406</v>
      </c>
      <c r="B11" s="305" t="s">
        <v>904</v>
      </c>
      <c r="C11" s="396">
        <v>0</v>
      </c>
      <c r="D11" s="26">
        <v>0.44800000000000001</v>
      </c>
      <c r="E11" s="26">
        <v>0.44800000000000001</v>
      </c>
      <c r="F11" s="27">
        <v>2688</v>
      </c>
      <c r="G11" s="27" t="s">
        <v>51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>
        <v>70130010075</v>
      </c>
      <c r="S11" s="3" t="s">
        <v>2401</v>
      </c>
      <c r="T11" s="3" t="s">
        <v>1504</v>
      </c>
      <c r="U11" s="110"/>
    </row>
    <row r="12" spans="1:21" x14ac:dyDescent="0.3">
      <c r="A12" s="643" t="s">
        <v>2407</v>
      </c>
      <c r="B12" s="963" t="s">
        <v>907</v>
      </c>
      <c r="C12" s="395">
        <v>0</v>
      </c>
      <c r="D12" s="32">
        <v>0.22900000000000001</v>
      </c>
      <c r="E12" s="615">
        <v>0.75600000000000001</v>
      </c>
      <c r="F12" s="640">
        <v>2032</v>
      </c>
      <c r="G12" s="640" t="s">
        <v>51</v>
      </c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>
        <v>70130020129</v>
      </c>
      <c r="S12" s="641" t="s">
        <v>2401</v>
      </c>
      <c r="T12" s="641" t="s">
        <v>1504</v>
      </c>
      <c r="U12" s="744"/>
    </row>
    <row r="13" spans="1:21" x14ac:dyDescent="0.3">
      <c r="A13" s="742"/>
      <c r="B13" s="970"/>
      <c r="C13" s="397">
        <v>0.22900000000000001</v>
      </c>
      <c r="D13" s="12">
        <v>0.50800000000000001</v>
      </c>
      <c r="E13" s="616"/>
      <c r="F13" s="621"/>
      <c r="G13" s="621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>
        <v>70130020188</v>
      </c>
      <c r="S13" s="633"/>
      <c r="T13" s="633"/>
      <c r="U13" s="750"/>
    </row>
    <row r="14" spans="1:21" ht="73.95" customHeight="1" thickBot="1" x14ac:dyDescent="0.35">
      <c r="A14" s="644"/>
      <c r="B14" s="964"/>
      <c r="C14" s="18">
        <v>0.50800000000000001</v>
      </c>
      <c r="D14" s="18">
        <v>0.75600000000000001</v>
      </c>
      <c r="E14" s="639"/>
      <c r="F14" s="19">
        <v>1240</v>
      </c>
      <c r="G14" s="20" t="s">
        <v>32</v>
      </c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>
        <v>70130040084</v>
      </c>
      <c r="S14" s="634"/>
      <c r="T14" s="634"/>
      <c r="U14" s="745"/>
    </row>
    <row r="15" spans="1:21" s="398" customFormat="1" ht="36.6" thickBot="1" x14ac:dyDescent="0.35">
      <c r="A15" s="40" t="s">
        <v>2408</v>
      </c>
      <c r="B15" s="305" t="s">
        <v>2409</v>
      </c>
      <c r="C15" s="396">
        <v>0</v>
      </c>
      <c r="D15" s="26">
        <v>7.2999999999999995E-2</v>
      </c>
      <c r="E15" s="26">
        <v>7.2999999999999995E-2</v>
      </c>
      <c r="F15" s="27">
        <v>328</v>
      </c>
      <c r="G15" s="3" t="s">
        <v>32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>
        <v>70130020142</v>
      </c>
      <c r="S15" s="3" t="s">
        <v>2401</v>
      </c>
      <c r="T15" s="3" t="s">
        <v>1504</v>
      </c>
      <c r="U15" s="110"/>
    </row>
    <row r="16" spans="1:21" s="398" customFormat="1" ht="48.6" thickBot="1" x14ac:dyDescent="0.35">
      <c r="A16" s="40" t="s">
        <v>2410</v>
      </c>
      <c r="B16" s="305" t="s">
        <v>2411</v>
      </c>
      <c r="C16" s="396">
        <v>0</v>
      </c>
      <c r="D16" s="26">
        <v>0.48699999999999999</v>
      </c>
      <c r="E16" s="26">
        <v>0.48699999999999999</v>
      </c>
      <c r="F16" s="27">
        <v>2922</v>
      </c>
      <c r="G16" s="27" t="s">
        <v>51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>
        <v>70130050151</v>
      </c>
      <c r="S16" s="3" t="s">
        <v>2401</v>
      </c>
      <c r="T16" s="3" t="s">
        <v>1504</v>
      </c>
      <c r="U16" s="5" t="s">
        <v>2412</v>
      </c>
    </row>
    <row r="17" spans="1:21" s="398" customFormat="1" ht="36.6" thickBot="1" x14ac:dyDescent="0.35">
      <c r="A17" s="40" t="s">
        <v>2413</v>
      </c>
      <c r="B17" s="305" t="s">
        <v>85</v>
      </c>
      <c r="C17" s="396">
        <v>0</v>
      </c>
      <c r="D17" s="26">
        <v>0.29499999999999998</v>
      </c>
      <c r="E17" s="26">
        <v>0.29499999999999998</v>
      </c>
      <c r="F17" s="27">
        <v>1180</v>
      </c>
      <c r="G17" s="3" t="s">
        <v>32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>
        <v>70130050099</v>
      </c>
      <c r="S17" s="3" t="s">
        <v>2401</v>
      </c>
      <c r="T17" s="3" t="s">
        <v>1504</v>
      </c>
      <c r="U17" s="110"/>
    </row>
    <row r="18" spans="1:21" s="398" customFormat="1" ht="36.6" thickBot="1" x14ac:dyDescent="0.35">
      <c r="A18" s="40" t="s">
        <v>2414</v>
      </c>
      <c r="B18" s="305" t="s">
        <v>1283</v>
      </c>
      <c r="C18" s="396">
        <v>0</v>
      </c>
      <c r="D18" s="26">
        <v>0.71899999999999997</v>
      </c>
      <c r="E18" s="26">
        <v>0.71899999999999997</v>
      </c>
      <c r="F18" s="27">
        <v>3235</v>
      </c>
      <c r="G18" s="27" t="s">
        <v>51</v>
      </c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>
        <v>70130050118</v>
      </c>
      <c r="S18" s="3" t="s">
        <v>2401</v>
      </c>
      <c r="T18" s="3" t="s">
        <v>1504</v>
      </c>
      <c r="U18" s="110"/>
    </row>
    <row r="19" spans="1:21" s="398" customFormat="1" ht="12" x14ac:dyDescent="0.3">
      <c r="A19" s="643" t="s">
        <v>2415</v>
      </c>
      <c r="B19" s="963" t="s">
        <v>2416</v>
      </c>
      <c r="C19" s="395">
        <v>0</v>
      </c>
      <c r="D19" s="32">
        <v>9.6000000000000002E-2</v>
      </c>
      <c r="E19" s="615">
        <v>0.54200000000000004</v>
      </c>
      <c r="F19" s="640">
        <v>1040</v>
      </c>
      <c r="G19" s="641" t="s">
        <v>51</v>
      </c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>
        <v>70130050090</v>
      </c>
      <c r="S19" s="641" t="s">
        <v>2401</v>
      </c>
      <c r="T19" s="641" t="s">
        <v>1504</v>
      </c>
      <c r="U19" s="642" t="s">
        <v>2412</v>
      </c>
    </row>
    <row r="20" spans="1:21" s="398" customFormat="1" ht="15" customHeight="1" x14ac:dyDescent="0.3">
      <c r="A20" s="742"/>
      <c r="B20" s="970"/>
      <c r="C20" s="397">
        <v>9.6000000000000002E-2</v>
      </c>
      <c r="D20" s="12">
        <v>0.222</v>
      </c>
      <c r="E20" s="616"/>
      <c r="F20" s="621"/>
      <c r="G20" s="6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621">
        <v>70130050190</v>
      </c>
      <c r="S20" s="633"/>
      <c r="T20" s="633"/>
      <c r="U20" s="636"/>
    </row>
    <row r="21" spans="1:21" s="398" customFormat="1" ht="12" x14ac:dyDescent="0.3">
      <c r="A21" s="742"/>
      <c r="B21" s="970"/>
      <c r="C21" s="397">
        <v>0.22220000000000001</v>
      </c>
      <c r="D21" s="12">
        <v>0.26</v>
      </c>
      <c r="E21" s="616"/>
      <c r="F21" s="621"/>
      <c r="G21" s="6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621"/>
      <c r="S21" s="633"/>
      <c r="T21" s="633"/>
      <c r="U21" s="636"/>
    </row>
    <row r="22" spans="1:21" s="398" customFormat="1" ht="12" x14ac:dyDescent="0.3">
      <c r="A22" s="742"/>
      <c r="B22" s="970"/>
      <c r="C22" s="1102">
        <v>0.26</v>
      </c>
      <c r="D22" s="1103">
        <v>0.38300000000000001</v>
      </c>
      <c r="E22" s="616"/>
      <c r="F22" s="621">
        <v>400</v>
      </c>
      <c r="G22" s="633" t="s">
        <v>32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 t="s">
        <v>2417</v>
      </c>
      <c r="S22" s="633"/>
      <c r="T22" s="633"/>
      <c r="U22" s="636"/>
    </row>
    <row r="23" spans="1:21" s="398" customFormat="1" ht="12" x14ac:dyDescent="0.3">
      <c r="A23" s="742"/>
      <c r="B23" s="970"/>
      <c r="C23" s="1102"/>
      <c r="D23" s="1103"/>
      <c r="E23" s="616"/>
      <c r="F23" s="621"/>
      <c r="G23" s="63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 t="s">
        <v>2418</v>
      </c>
      <c r="S23" s="633"/>
      <c r="T23" s="633"/>
      <c r="U23" s="636"/>
    </row>
    <row r="24" spans="1:21" s="398" customFormat="1" ht="12" x14ac:dyDescent="0.3">
      <c r="A24" s="742"/>
      <c r="B24" s="970"/>
      <c r="C24" s="1102"/>
      <c r="D24" s="1103"/>
      <c r="E24" s="616"/>
      <c r="F24" s="621"/>
      <c r="G24" s="6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 t="s">
        <v>2419</v>
      </c>
      <c r="S24" s="633"/>
      <c r="T24" s="633"/>
      <c r="U24" s="636"/>
    </row>
    <row r="25" spans="1:21" s="398" customFormat="1" ht="12" x14ac:dyDescent="0.3">
      <c r="A25" s="742"/>
      <c r="B25" s="970"/>
      <c r="C25" s="1102"/>
      <c r="D25" s="1103"/>
      <c r="E25" s="616"/>
      <c r="F25" s="621"/>
      <c r="G25" s="6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 t="s">
        <v>2420</v>
      </c>
      <c r="S25" s="633"/>
      <c r="T25" s="633"/>
      <c r="U25" s="636"/>
    </row>
    <row r="26" spans="1:21" s="398" customFormat="1" ht="12" x14ac:dyDescent="0.3">
      <c r="A26" s="742"/>
      <c r="B26" s="970"/>
      <c r="C26" s="1102"/>
      <c r="D26" s="1103"/>
      <c r="E26" s="616"/>
      <c r="F26" s="621"/>
      <c r="G26" s="63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 t="s">
        <v>2421</v>
      </c>
      <c r="S26" s="633"/>
      <c r="T26" s="633"/>
      <c r="U26" s="636"/>
    </row>
    <row r="27" spans="1:21" s="398" customFormat="1" ht="12" x14ac:dyDescent="0.3">
      <c r="A27" s="742"/>
      <c r="B27" s="970"/>
      <c r="C27" s="1102"/>
      <c r="D27" s="1103"/>
      <c r="E27" s="616"/>
      <c r="F27" s="621"/>
      <c r="G27" s="63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 t="s">
        <v>2422</v>
      </c>
      <c r="S27" s="633"/>
      <c r="T27" s="633"/>
      <c r="U27" s="636"/>
    </row>
    <row r="28" spans="1:21" s="398" customFormat="1" ht="12" x14ac:dyDescent="0.3">
      <c r="A28" s="742"/>
      <c r="B28" s="970"/>
      <c r="C28" s="1104">
        <v>0.38300000000000001</v>
      </c>
      <c r="D28" s="1103">
        <v>0.54200000000000004</v>
      </c>
      <c r="E28" s="616"/>
      <c r="F28" s="621">
        <v>560</v>
      </c>
      <c r="G28" s="633" t="s">
        <v>51</v>
      </c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 t="s">
        <v>2423</v>
      </c>
      <c r="S28" s="633"/>
      <c r="T28" s="633"/>
      <c r="U28" s="636"/>
    </row>
    <row r="29" spans="1:21" s="398" customFormat="1" ht="15" customHeight="1" x14ac:dyDescent="0.3">
      <c r="A29" s="742"/>
      <c r="B29" s="970"/>
      <c r="C29" s="1104"/>
      <c r="D29" s="1103"/>
      <c r="E29" s="616"/>
      <c r="F29" s="621"/>
      <c r="G29" s="63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 t="s">
        <v>2424</v>
      </c>
      <c r="S29" s="633"/>
      <c r="T29" s="633"/>
      <c r="U29" s="636"/>
    </row>
    <row r="30" spans="1:21" s="398" customFormat="1" ht="15" customHeight="1" x14ac:dyDescent="0.3">
      <c r="A30" s="742"/>
      <c r="B30" s="970"/>
      <c r="C30" s="1104"/>
      <c r="D30" s="1103"/>
      <c r="E30" s="616"/>
      <c r="F30" s="621"/>
      <c r="G30" s="63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 t="s">
        <v>2425</v>
      </c>
      <c r="S30" s="633"/>
      <c r="T30" s="633"/>
      <c r="U30" s="636"/>
    </row>
    <row r="31" spans="1:21" s="398" customFormat="1" ht="15" customHeight="1" x14ac:dyDescent="0.3">
      <c r="A31" s="742"/>
      <c r="B31" s="970"/>
      <c r="C31" s="1104"/>
      <c r="D31" s="1103"/>
      <c r="E31" s="616"/>
      <c r="F31" s="621"/>
      <c r="G31" s="6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 t="s">
        <v>2426</v>
      </c>
      <c r="S31" s="633"/>
      <c r="T31" s="633"/>
      <c r="U31" s="636"/>
    </row>
    <row r="32" spans="1:21" s="398" customFormat="1" ht="15" customHeight="1" thickBot="1" x14ac:dyDescent="0.35">
      <c r="A32" s="644"/>
      <c r="B32" s="964"/>
      <c r="C32" s="1105"/>
      <c r="D32" s="1106"/>
      <c r="E32" s="639"/>
      <c r="F32" s="631"/>
      <c r="G32" s="634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 t="s">
        <v>2427</v>
      </c>
      <c r="S32" s="634"/>
      <c r="T32" s="634"/>
      <c r="U32" s="637"/>
    </row>
    <row r="33" spans="1:21" s="398" customFormat="1" ht="36.6" thickBot="1" x14ac:dyDescent="0.35">
      <c r="A33" s="40" t="s">
        <v>2428</v>
      </c>
      <c r="B33" s="305" t="s">
        <v>2429</v>
      </c>
      <c r="C33" s="396">
        <v>0</v>
      </c>
      <c r="D33" s="26">
        <v>0.31</v>
      </c>
      <c r="E33" s="26">
        <v>0.31</v>
      </c>
      <c r="F33" s="27">
        <v>1240</v>
      </c>
      <c r="G33" s="3" t="s">
        <v>32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>
        <v>70130010077</v>
      </c>
      <c r="S33" s="3" t="s">
        <v>2401</v>
      </c>
      <c r="T33" s="3" t="s">
        <v>1504</v>
      </c>
      <c r="U33" s="110"/>
    </row>
    <row r="34" spans="1:21" s="398" customFormat="1" ht="36.6" thickBot="1" x14ac:dyDescent="0.35">
      <c r="A34" s="40" t="s">
        <v>2430</v>
      </c>
      <c r="B34" s="305" t="s">
        <v>2431</v>
      </c>
      <c r="C34" s="396">
        <v>0</v>
      </c>
      <c r="D34" s="26">
        <v>7.2999999999999995E-2</v>
      </c>
      <c r="E34" s="26">
        <v>7.2999999999999995E-2</v>
      </c>
      <c r="F34" s="27">
        <v>438</v>
      </c>
      <c r="G34" s="27" t="s">
        <v>51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>
        <v>70130050159</v>
      </c>
      <c r="S34" s="3" t="s">
        <v>2401</v>
      </c>
      <c r="T34" s="3" t="s">
        <v>1504</v>
      </c>
      <c r="U34" s="110"/>
    </row>
    <row r="35" spans="1:21" s="398" customFormat="1" ht="12" x14ac:dyDescent="0.3">
      <c r="A35" s="643" t="s">
        <v>2432</v>
      </c>
      <c r="B35" s="963" t="s">
        <v>2433</v>
      </c>
      <c r="C35" s="395">
        <v>0</v>
      </c>
      <c r="D35" s="32">
        <v>0.29499999999999998</v>
      </c>
      <c r="E35" s="615">
        <v>0.32600000000000001</v>
      </c>
      <c r="F35" s="640">
        <v>1304</v>
      </c>
      <c r="G35" s="640" t="s">
        <v>51</v>
      </c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640">
        <v>70130020153</v>
      </c>
      <c r="S35" s="641" t="s">
        <v>2401</v>
      </c>
      <c r="T35" s="641" t="s">
        <v>1504</v>
      </c>
      <c r="U35" s="642"/>
    </row>
    <row r="36" spans="1:21" s="398" customFormat="1" ht="88.2" customHeight="1" thickBot="1" x14ac:dyDescent="0.35">
      <c r="A36" s="644"/>
      <c r="B36" s="964"/>
      <c r="C36" s="399">
        <v>0.29499999999999998</v>
      </c>
      <c r="D36" s="18">
        <v>0.32600000000000001</v>
      </c>
      <c r="E36" s="639"/>
      <c r="F36" s="631"/>
      <c r="G36" s="631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631"/>
      <c r="S36" s="634"/>
      <c r="T36" s="634"/>
      <c r="U36" s="637"/>
    </row>
    <row r="37" spans="1:21" s="398" customFormat="1" ht="12" x14ac:dyDescent="0.3">
      <c r="A37" s="643" t="s">
        <v>2434</v>
      </c>
      <c r="B37" s="963" t="s">
        <v>240</v>
      </c>
      <c r="C37" s="395">
        <v>0</v>
      </c>
      <c r="D37" s="32">
        <v>0.33300000000000002</v>
      </c>
      <c r="E37" s="615">
        <v>0.90800000000000003</v>
      </c>
      <c r="F37" s="640">
        <v>4550</v>
      </c>
      <c r="G37" s="640" t="s">
        <v>32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>
        <v>70130020130</v>
      </c>
      <c r="S37" s="641" t="s">
        <v>2401</v>
      </c>
      <c r="T37" s="641" t="s">
        <v>1504</v>
      </c>
      <c r="U37" s="642"/>
    </row>
    <row r="38" spans="1:21" s="398" customFormat="1" ht="12" x14ac:dyDescent="0.3">
      <c r="A38" s="742"/>
      <c r="B38" s="970"/>
      <c r="C38" s="397">
        <v>0.33300000000000002</v>
      </c>
      <c r="D38" s="12">
        <v>0.48899999999999999</v>
      </c>
      <c r="E38" s="616"/>
      <c r="F38" s="621"/>
      <c r="G38" s="621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>
        <v>70130020148</v>
      </c>
      <c r="S38" s="633"/>
      <c r="T38" s="633"/>
      <c r="U38" s="636"/>
    </row>
    <row r="39" spans="1:21" s="398" customFormat="1" ht="34.200000000000003" customHeight="1" thickBot="1" x14ac:dyDescent="0.35">
      <c r="A39" s="644"/>
      <c r="B39" s="964"/>
      <c r="C39" s="399">
        <v>0.48899999999999999</v>
      </c>
      <c r="D39" s="18">
        <v>0.90800000000000003</v>
      </c>
      <c r="E39" s="639"/>
      <c r="F39" s="631"/>
      <c r="G39" s="631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>
        <v>70130020189</v>
      </c>
      <c r="S39" s="634"/>
      <c r="T39" s="634"/>
      <c r="U39" s="637"/>
    </row>
    <row r="40" spans="1:21" s="398" customFormat="1" ht="36.6" thickBot="1" x14ac:dyDescent="0.35">
      <c r="A40" s="40" t="s">
        <v>2435</v>
      </c>
      <c r="B40" s="305" t="s">
        <v>2436</v>
      </c>
      <c r="C40" s="396">
        <v>0</v>
      </c>
      <c r="D40" s="26">
        <v>0.61899999999999999</v>
      </c>
      <c r="E40" s="26">
        <v>0.61899999999999999</v>
      </c>
      <c r="F40" s="27">
        <v>3095</v>
      </c>
      <c r="G40" s="27" t="s">
        <v>51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>
        <v>70130010076</v>
      </c>
      <c r="S40" s="3" t="s">
        <v>2401</v>
      </c>
      <c r="T40" s="3" t="s">
        <v>1504</v>
      </c>
      <c r="U40" s="110"/>
    </row>
    <row r="41" spans="1:21" s="398" customFormat="1" ht="12" x14ac:dyDescent="0.3">
      <c r="A41" s="643" t="s">
        <v>2437</v>
      </c>
      <c r="B41" s="963" t="s">
        <v>230</v>
      </c>
      <c r="C41" s="395">
        <v>0</v>
      </c>
      <c r="D41" s="32">
        <v>0.42699999999999999</v>
      </c>
      <c r="E41" s="615">
        <v>1.1180000000000001</v>
      </c>
      <c r="F41" s="640">
        <v>5854</v>
      </c>
      <c r="G41" s="640" t="s">
        <v>51</v>
      </c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>
        <v>70130010084</v>
      </c>
      <c r="S41" s="641" t="s">
        <v>2401</v>
      </c>
      <c r="T41" s="641" t="s">
        <v>1504</v>
      </c>
      <c r="U41" s="642"/>
    </row>
    <row r="42" spans="1:21" s="398" customFormat="1" ht="41.4" customHeight="1" thickBot="1" x14ac:dyDescent="0.35">
      <c r="A42" s="644"/>
      <c r="B42" s="964"/>
      <c r="C42" s="399">
        <v>0.42699999999999999</v>
      </c>
      <c r="D42" s="18">
        <v>1.1180000000000001</v>
      </c>
      <c r="E42" s="639"/>
      <c r="F42" s="631"/>
      <c r="G42" s="631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>
        <v>70130020145</v>
      </c>
      <c r="S42" s="634"/>
      <c r="T42" s="634"/>
      <c r="U42" s="637"/>
    </row>
    <row r="43" spans="1:21" s="398" customFormat="1" ht="12" x14ac:dyDescent="0.3">
      <c r="A43" s="643" t="s">
        <v>2438</v>
      </c>
      <c r="B43" s="963" t="s">
        <v>2439</v>
      </c>
      <c r="C43" s="395">
        <v>0</v>
      </c>
      <c r="D43" s="32">
        <v>1.0629999999999999</v>
      </c>
      <c r="E43" s="615">
        <v>1.284</v>
      </c>
      <c r="F43" s="34">
        <v>6378</v>
      </c>
      <c r="G43" s="34" t="s">
        <v>51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>
        <v>70130020154</v>
      </c>
      <c r="S43" s="641" t="s">
        <v>2401</v>
      </c>
      <c r="T43" s="641" t="s">
        <v>1504</v>
      </c>
      <c r="U43" s="642"/>
    </row>
    <row r="44" spans="1:21" s="398" customFormat="1" ht="45" customHeight="1" thickBot="1" x14ac:dyDescent="0.35">
      <c r="A44" s="644"/>
      <c r="B44" s="964"/>
      <c r="C44" s="18">
        <v>1.0629999999999999</v>
      </c>
      <c r="D44" s="18">
        <v>1.284</v>
      </c>
      <c r="E44" s="639"/>
      <c r="F44" s="19">
        <v>1105</v>
      </c>
      <c r="G44" s="19" t="s">
        <v>32</v>
      </c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>
        <v>70130030031</v>
      </c>
      <c r="S44" s="634"/>
      <c r="T44" s="634"/>
      <c r="U44" s="637"/>
    </row>
    <row r="45" spans="1:21" s="398" customFormat="1" ht="36.6" thickBot="1" x14ac:dyDescent="0.35">
      <c r="A45" s="40" t="s">
        <v>2440</v>
      </c>
      <c r="B45" s="305" t="s">
        <v>405</v>
      </c>
      <c r="C45" s="396">
        <v>0</v>
      </c>
      <c r="D45" s="26">
        <v>0.60499999999999998</v>
      </c>
      <c r="E45" s="26">
        <v>0.60499999999999998</v>
      </c>
      <c r="F45" s="27">
        <v>2420</v>
      </c>
      <c r="G45" s="27" t="s">
        <v>32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>
        <v>70130050150</v>
      </c>
      <c r="S45" s="3" t="s">
        <v>2401</v>
      </c>
      <c r="T45" s="3" t="s">
        <v>1504</v>
      </c>
      <c r="U45" s="110"/>
    </row>
    <row r="46" spans="1:21" s="398" customFormat="1" ht="36.6" thickBot="1" x14ac:dyDescent="0.35">
      <c r="A46" s="40" t="s">
        <v>2441</v>
      </c>
      <c r="B46" s="305" t="s">
        <v>2442</v>
      </c>
      <c r="C46" s="396">
        <v>0</v>
      </c>
      <c r="D46" s="26">
        <v>0.24099999999999999</v>
      </c>
      <c r="E46" s="26">
        <v>0.24099999999999999</v>
      </c>
      <c r="F46" s="27">
        <v>1205</v>
      </c>
      <c r="G46" s="27" t="s">
        <v>51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>
        <v>70130040097</v>
      </c>
      <c r="S46" s="3" t="s">
        <v>2401</v>
      </c>
      <c r="T46" s="3" t="s">
        <v>1504</v>
      </c>
      <c r="U46" s="110"/>
    </row>
    <row r="47" spans="1:21" s="398" customFormat="1" ht="36.6" thickBot="1" x14ac:dyDescent="0.35">
      <c r="A47" s="40" t="s">
        <v>2443</v>
      </c>
      <c r="B47" s="305" t="s">
        <v>2444</v>
      </c>
      <c r="C47" s="396">
        <v>0</v>
      </c>
      <c r="D47" s="26">
        <v>0.40400000000000003</v>
      </c>
      <c r="E47" s="26">
        <v>0.40400000000000003</v>
      </c>
      <c r="F47" s="27">
        <v>2424</v>
      </c>
      <c r="G47" s="27" t="s">
        <v>51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>
        <v>70130020152</v>
      </c>
      <c r="S47" s="3" t="s">
        <v>2401</v>
      </c>
      <c r="T47" s="3" t="s">
        <v>1504</v>
      </c>
      <c r="U47" s="5"/>
    </row>
    <row r="48" spans="1:21" s="398" customFormat="1" ht="36.6" thickBot="1" x14ac:dyDescent="0.35">
      <c r="A48" s="40" t="s">
        <v>2445</v>
      </c>
      <c r="B48" s="305" t="s">
        <v>921</v>
      </c>
      <c r="C48" s="396">
        <v>0</v>
      </c>
      <c r="D48" s="26">
        <v>0.17799999999999999</v>
      </c>
      <c r="E48" s="26">
        <v>0.17799999999999999</v>
      </c>
      <c r="F48" s="27">
        <v>1424</v>
      </c>
      <c r="G48" s="27" t="s">
        <v>51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>
        <v>70130050149</v>
      </c>
      <c r="S48" s="3" t="s">
        <v>2401</v>
      </c>
      <c r="T48" s="3" t="s">
        <v>1504</v>
      </c>
      <c r="U48" s="110"/>
    </row>
    <row r="49" spans="1:21" s="398" customFormat="1" ht="36.6" thickBot="1" x14ac:dyDescent="0.35">
      <c r="A49" s="40" t="s">
        <v>2446</v>
      </c>
      <c r="B49" s="305" t="s">
        <v>1126</v>
      </c>
      <c r="C49" s="396">
        <v>0</v>
      </c>
      <c r="D49" s="26">
        <v>0.121</v>
      </c>
      <c r="E49" s="26">
        <v>0.121</v>
      </c>
      <c r="F49" s="27">
        <v>484</v>
      </c>
      <c r="G49" s="27" t="s">
        <v>32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>
        <v>70130010079</v>
      </c>
      <c r="S49" s="3" t="s">
        <v>2401</v>
      </c>
      <c r="T49" s="3" t="s">
        <v>1504</v>
      </c>
      <c r="U49" s="110"/>
    </row>
    <row r="50" spans="1:21" s="398" customFormat="1" ht="36.6" thickBot="1" x14ac:dyDescent="0.35">
      <c r="A50" s="40" t="s">
        <v>2447</v>
      </c>
      <c r="B50" s="305" t="s">
        <v>2448</v>
      </c>
      <c r="C50" s="396">
        <v>0</v>
      </c>
      <c r="D50" s="26">
        <v>0.13400000000000001</v>
      </c>
      <c r="E50" s="26">
        <v>0.13400000000000001</v>
      </c>
      <c r="F50" s="27">
        <v>820</v>
      </c>
      <c r="G50" s="27" t="s">
        <v>32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 t="s">
        <v>2449</v>
      </c>
      <c r="S50" s="3" t="s">
        <v>2401</v>
      </c>
      <c r="T50" s="3" t="s">
        <v>1504</v>
      </c>
      <c r="U50" s="5"/>
    </row>
    <row r="51" spans="1:21" s="398" customFormat="1" ht="12" x14ac:dyDescent="0.3">
      <c r="A51" s="643" t="s">
        <v>2450</v>
      </c>
      <c r="B51" s="963" t="s">
        <v>2451</v>
      </c>
      <c r="C51" s="395">
        <v>0</v>
      </c>
      <c r="D51" s="32">
        <v>6.3E-2</v>
      </c>
      <c r="E51" s="615">
        <v>0.59699999999999998</v>
      </c>
      <c r="F51" s="34">
        <v>400</v>
      </c>
      <c r="G51" s="34" t="s">
        <v>51</v>
      </c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640">
        <v>70130050090</v>
      </c>
      <c r="S51" s="641" t="s">
        <v>2401</v>
      </c>
      <c r="T51" s="641" t="s">
        <v>1504</v>
      </c>
      <c r="U51" s="642"/>
    </row>
    <row r="52" spans="1:21" s="398" customFormat="1" ht="45" customHeight="1" thickBot="1" x14ac:dyDescent="0.35">
      <c r="A52" s="644"/>
      <c r="B52" s="964"/>
      <c r="C52" s="18">
        <v>6.3E-2</v>
      </c>
      <c r="D52" s="18">
        <v>0.59699999999999998</v>
      </c>
      <c r="E52" s="639"/>
      <c r="F52" s="19">
        <v>3118</v>
      </c>
      <c r="G52" s="19" t="s">
        <v>32</v>
      </c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631"/>
      <c r="S52" s="634"/>
      <c r="T52" s="634"/>
      <c r="U52" s="637"/>
    </row>
    <row r="53" spans="1:21" s="398" customFormat="1" ht="12" x14ac:dyDescent="0.3">
      <c r="A53" s="643" t="s">
        <v>2452</v>
      </c>
      <c r="B53" s="963" t="s">
        <v>28</v>
      </c>
      <c r="C53" s="395">
        <v>0</v>
      </c>
      <c r="D53" s="32">
        <v>7.0999999999999994E-2</v>
      </c>
      <c r="E53" s="615">
        <v>0.155</v>
      </c>
      <c r="F53" s="640">
        <v>620</v>
      </c>
      <c r="G53" s="640" t="s">
        <v>32</v>
      </c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>
        <v>70130050158</v>
      </c>
      <c r="S53" s="641" t="s">
        <v>2401</v>
      </c>
      <c r="T53" s="641" t="s">
        <v>1504</v>
      </c>
      <c r="U53" s="744"/>
    </row>
    <row r="54" spans="1:21" s="398" customFormat="1" ht="47.4" customHeight="1" thickBot="1" x14ac:dyDescent="0.35">
      <c r="A54" s="644"/>
      <c r="B54" s="964"/>
      <c r="C54" s="399">
        <v>7.0999999999999994E-2</v>
      </c>
      <c r="D54" s="18">
        <v>0.155</v>
      </c>
      <c r="E54" s="639"/>
      <c r="F54" s="631"/>
      <c r="G54" s="631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>
        <v>70130050109</v>
      </c>
      <c r="S54" s="634"/>
      <c r="T54" s="634"/>
      <c r="U54" s="745"/>
    </row>
    <row r="55" spans="1:21" s="398" customFormat="1" ht="36.6" thickBot="1" x14ac:dyDescent="0.35">
      <c r="A55" s="40" t="s">
        <v>2453</v>
      </c>
      <c r="B55" s="305" t="s">
        <v>46</v>
      </c>
      <c r="C55" s="396">
        <v>0</v>
      </c>
      <c r="D55" s="26">
        <v>0.39200000000000002</v>
      </c>
      <c r="E55" s="26">
        <v>0.39200000000000002</v>
      </c>
      <c r="F55" s="27">
        <v>1568</v>
      </c>
      <c r="G55" s="27" t="s">
        <v>51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>
        <v>70130020150</v>
      </c>
      <c r="S55" s="3" t="s">
        <v>2401</v>
      </c>
      <c r="T55" s="3" t="s">
        <v>1504</v>
      </c>
      <c r="U55" s="110"/>
    </row>
    <row r="56" spans="1:21" s="398" customFormat="1" ht="36.6" thickBot="1" x14ac:dyDescent="0.35">
      <c r="A56" s="40" t="s">
        <v>2454</v>
      </c>
      <c r="B56" s="305" t="s">
        <v>2455</v>
      </c>
      <c r="C56" s="396">
        <v>0</v>
      </c>
      <c r="D56" s="26">
        <v>0.32200000000000001</v>
      </c>
      <c r="E56" s="26">
        <v>0.32200000000000001</v>
      </c>
      <c r="F56" s="27">
        <v>1932</v>
      </c>
      <c r="G56" s="27" t="s">
        <v>51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>
        <v>70130040098</v>
      </c>
      <c r="S56" s="3" t="s">
        <v>2401</v>
      </c>
      <c r="T56" s="3" t="s">
        <v>1504</v>
      </c>
      <c r="U56" s="110"/>
    </row>
    <row r="57" spans="1:21" s="398" customFormat="1" ht="12" customHeight="1" x14ac:dyDescent="0.3">
      <c r="A57" s="604" t="s">
        <v>2456</v>
      </c>
      <c r="B57" s="963" t="s">
        <v>2457</v>
      </c>
      <c r="C57" s="395">
        <v>0</v>
      </c>
      <c r="D57" s="32">
        <v>1.145</v>
      </c>
      <c r="E57" s="615">
        <v>1.917</v>
      </c>
      <c r="F57" s="34">
        <v>6310</v>
      </c>
      <c r="G57" s="34" t="s">
        <v>51</v>
      </c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>
        <v>70130020122</v>
      </c>
      <c r="S57" s="641" t="s">
        <v>2401</v>
      </c>
      <c r="T57" s="662" t="s">
        <v>1504</v>
      </c>
      <c r="U57" s="642"/>
    </row>
    <row r="58" spans="1:21" s="398" customFormat="1" ht="31.2" customHeight="1" thickBot="1" x14ac:dyDescent="0.35">
      <c r="A58" s="606"/>
      <c r="B58" s="964"/>
      <c r="C58" s="18">
        <v>1.145</v>
      </c>
      <c r="D58" s="18">
        <v>1.917</v>
      </c>
      <c r="E58" s="639"/>
      <c r="F58" s="19">
        <v>3860</v>
      </c>
      <c r="G58" s="19" t="s">
        <v>32</v>
      </c>
      <c r="H58" s="20"/>
      <c r="I58" s="19"/>
      <c r="J58" s="19"/>
      <c r="K58" s="19"/>
      <c r="L58" s="19"/>
      <c r="M58" s="19"/>
      <c r="N58" s="19"/>
      <c r="O58" s="19"/>
      <c r="P58" s="19"/>
      <c r="Q58" s="19"/>
      <c r="R58" s="19">
        <v>70130040078</v>
      </c>
      <c r="S58" s="634"/>
      <c r="T58" s="663"/>
      <c r="U58" s="637"/>
    </row>
    <row r="59" spans="1:21" s="398" customFormat="1" ht="12" x14ac:dyDescent="0.3">
      <c r="A59" s="604" t="s">
        <v>2458</v>
      </c>
      <c r="B59" s="963" t="s">
        <v>927</v>
      </c>
      <c r="C59" s="395">
        <v>0</v>
      </c>
      <c r="D59" s="32">
        <v>0.40100000000000002</v>
      </c>
      <c r="E59" s="615">
        <v>0.69399999999999995</v>
      </c>
      <c r="F59" s="640">
        <v>3070</v>
      </c>
      <c r="G59" s="640" t="s">
        <v>51</v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>
        <v>70130050089</v>
      </c>
      <c r="S59" s="641" t="s">
        <v>2401</v>
      </c>
      <c r="T59" s="662" t="s">
        <v>1504</v>
      </c>
      <c r="U59" s="744"/>
    </row>
    <row r="60" spans="1:21" s="398" customFormat="1" ht="29.4" customHeight="1" thickBot="1" x14ac:dyDescent="0.35">
      <c r="A60" s="606"/>
      <c r="B60" s="964"/>
      <c r="C60" s="399">
        <v>0.40100000000000002</v>
      </c>
      <c r="D60" s="18">
        <v>0.69399999999999995</v>
      </c>
      <c r="E60" s="639"/>
      <c r="F60" s="631"/>
      <c r="G60" s="631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>
        <v>70130050157</v>
      </c>
      <c r="S60" s="634"/>
      <c r="T60" s="663"/>
      <c r="U60" s="745"/>
    </row>
    <row r="61" spans="1:21" s="398" customFormat="1" ht="36.6" thickBot="1" x14ac:dyDescent="0.35">
      <c r="A61" s="22" t="s">
        <v>2459</v>
      </c>
      <c r="B61" s="305" t="s">
        <v>2460</v>
      </c>
      <c r="C61" s="396">
        <v>0</v>
      </c>
      <c r="D61" s="26">
        <v>8.8999999999999996E-2</v>
      </c>
      <c r="E61" s="26">
        <v>8.8999999999999996E-2</v>
      </c>
      <c r="F61" s="27">
        <v>400</v>
      </c>
      <c r="G61" s="27" t="s">
        <v>32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>
        <v>70130020155</v>
      </c>
      <c r="S61" s="3" t="s">
        <v>2401</v>
      </c>
      <c r="T61" s="3" t="s">
        <v>1504</v>
      </c>
      <c r="U61" s="110"/>
    </row>
    <row r="62" spans="1:21" s="398" customFormat="1" ht="12" x14ac:dyDescent="0.3">
      <c r="A62" s="604" t="s">
        <v>2461</v>
      </c>
      <c r="B62" s="963" t="s">
        <v>247</v>
      </c>
      <c r="C62" s="395">
        <v>0</v>
      </c>
      <c r="D62" s="32">
        <v>0.31</v>
      </c>
      <c r="E62" s="615">
        <v>0.61</v>
      </c>
      <c r="F62" s="640">
        <v>3360</v>
      </c>
      <c r="G62" s="640" t="s">
        <v>51</v>
      </c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>
        <v>70130050087</v>
      </c>
      <c r="S62" s="641" t="s">
        <v>2401</v>
      </c>
      <c r="T62" s="641" t="s">
        <v>1504</v>
      </c>
      <c r="U62" s="642"/>
    </row>
    <row r="63" spans="1:21" s="398" customFormat="1" ht="41.4" customHeight="1" thickBot="1" x14ac:dyDescent="0.35">
      <c r="A63" s="606"/>
      <c r="B63" s="964"/>
      <c r="C63" s="399">
        <v>0.31</v>
      </c>
      <c r="D63" s="18">
        <v>0.61</v>
      </c>
      <c r="E63" s="639"/>
      <c r="F63" s="631"/>
      <c r="G63" s="631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>
        <v>70130050156</v>
      </c>
      <c r="S63" s="634"/>
      <c r="T63" s="634"/>
      <c r="U63" s="637"/>
    </row>
    <row r="64" spans="1:21" s="398" customFormat="1" ht="36.6" thickBot="1" x14ac:dyDescent="0.35">
      <c r="A64" s="69" t="s">
        <v>2462</v>
      </c>
      <c r="B64" s="305" t="s">
        <v>930</v>
      </c>
      <c r="C64" s="396">
        <v>0</v>
      </c>
      <c r="D64" s="26">
        <v>0.19400000000000001</v>
      </c>
      <c r="E64" s="26">
        <v>0.19400000000000001</v>
      </c>
      <c r="F64" s="27">
        <v>776</v>
      </c>
      <c r="G64" s="27" t="s">
        <v>32</v>
      </c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>
        <v>70130010187</v>
      </c>
      <c r="S64" s="3" t="s">
        <v>2401</v>
      </c>
      <c r="T64" s="3" t="s">
        <v>1504</v>
      </c>
      <c r="U64" s="110"/>
    </row>
    <row r="65" spans="1:21" s="398" customFormat="1" ht="36.6" thickBot="1" x14ac:dyDescent="0.35">
      <c r="A65" s="40" t="s">
        <v>2463</v>
      </c>
      <c r="B65" s="305" t="s">
        <v>2464</v>
      </c>
      <c r="C65" s="396">
        <v>0</v>
      </c>
      <c r="D65" s="26">
        <v>0.214</v>
      </c>
      <c r="E65" s="26">
        <v>0.214</v>
      </c>
      <c r="F65" s="27">
        <v>750</v>
      </c>
      <c r="G65" s="27" t="s">
        <v>51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>
        <v>70130050160</v>
      </c>
      <c r="S65" s="3" t="s">
        <v>2401</v>
      </c>
      <c r="T65" s="3" t="s">
        <v>1504</v>
      </c>
      <c r="U65" s="110"/>
    </row>
    <row r="66" spans="1:21" s="398" customFormat="1" ht="36.6" thickBot="1" x14ac:dyDescent="0.35">
      <c r="A66" s="40" t="s">
        <v>2465</v>
      </c>
      <c r="B66" s="305" t="s">
        <v>2466</v>
      </c>
      <c r="C66" s="396">
        <v>0</v>
      </c>
      <c r="D66" s="26">
        <v>0.28000000000000003</v>
      </c>
      <c r="E66" s="26">
        <v>0.28000000000000003</v>
      </c>
      <c r="F66" s="27">
        <v>1680</v>
      </c>
      <c r="G66" s="27" t="s">
        <v>51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>
        <v>70130050107</v>
      </c>
      <c r="S66" s="3" t="s">
        <v>2401</v>
      </c>
      <c r="T66" s="3" t="s">
        <v>1504</v>
      </c>
      <c r="U66" s="5"/>
    </row>
    <row r="67" spans="1:21" s="398" customFormat="1" ht="36.6" thickBot="1" x14ac:dyDescent="0.35">
      <c r="A67" s="40" t="s">
        <v>2467</v>
      </c>
      <c r="B67" s="305" t="s">
        <v>1135</v>
      </c>
      <c r="C67" s="396">
        <v>0</v>
      </c>
      <c r="D67" s="26">
        <v>0.23400000000000001</v>
      </c>
      <c r="E67" s="26">
        <v>0.23400000000000001</v>
      </c>
      <c r="F67" s="27">
        <v>1404</v>
      </c>
      <c r="G67" s="27" t="s">
        <v>32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>
        <v>70130010078</v>
      </c>
      <c r="S67" s="3" t="s">
        <v>2401</v>
      </c>
      <c r="T67" s="3" t="s">
        <v>1504</v>
      </c>
      <c r="U67" s="110"/>
    </row>
    <row r="68" spans="1:21" s="398" customFormat="1" ht="36.6" thickBot="1" x14ac:dyDescent="0.35">
      <c r="A68" s="40" t="s">
        <v>2468</v>
      </c>
      <c r="B68" s="305" t="s">
        <v>36</v>
      </c>
      <c r="C68" s="396">
        <v>0</v>
      </c>
      <c r="D68" s="26">
        <v>0.36299999999999999</v>
      </c>
      <c r="E68" s="26">
        <v>0.36299999999999999</v>
      </c>
      <c r="F68" s="27">
        <v>1815</v>
      </c>
      <c r="G68" s="27" t="s">
        <v>51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>
        <v>70130020151</v>
      </c>
      <c r="S68" s="3" t="s">
        <v>2401</v>
      </c>
      <c r="T68" s="3" t="s">
        <v>1504</v>
      </c>
      <c r="U68" s="110"/>
    </row>
    <row r="69" spans="1:21" s="398" customFormat="1" ht="12" x14ac:dyDescent="0.3">
      <c r="A69" s="643" t="s">
        <v>2469</v>
      </c>
      <c r="B69" s="963" t="s">
        <v>2470</v>
      </c>
      <c r="C69" s="395">
        <v>0</v>
      </c>
      <c r="D69" s="32">
        <v>0.51500000000000001</v>
      </c>
      <c r="E69" s="615">
        <v>0.64200000000000002</v>
      </c>
      <c r="F69" s="34">
        <v>2575</v>
      </c>
      <c r="G69" s="34" t="s">
        <v>51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640">
        <v>70130010083</v>
      </c>
      <c r="S69" s="641" t="s">
        <v>2401</v>
      </c>
      <c r="T69" s="641" t="s">
        <v>1504</v>
      </c>
      <c r="U69" s="642"/>
    </row>
    <row r="70" spans="1:21" s="398" customFormat="1" ht="40.950000000000003" customHeight="1" thickBot="1" x14ac:dyDescent="0.35">
      <c r="A70" s="644"/>
      <c r="B70" s="964"/>
      <c r="C70" s="399">
        <v>0.51500000000000001</v>
      </c>
      <c r="D70" s="18">
        <v>0.64200000000000002</v>
      </c>
      <c r="E70" s="639"/>
      <c r="F70" s="19">
        <v>508</v>
      </c>
      <c r="G70" s="19" t="s">
        <v>32</v>
      </c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631"/>
      <c r="S70" s="634"/>
      <c r="T70" s="634"/>
      <c r="U70" s="637"/>
    </row>
    <row r="71" spans="1:21" s="398" customFormat="1" ht="12" x14ac:dyDescent="0.3">
      <c r="A71" s="604" t="s">
        <v>2471</v>
      </c>
      <c r="B71" s="963" t="s">
        <v>944</v>
      </c>
      <c r="C71" s="395">
        <v>0</v>
      </c>
      <c r="D71" s="32">
        <v>9.2999999999999999E-2</v>
      </c>
      <c r="E71" s="615">
        <v>0.61899999999999999</v>
      </c>
      <c r="F71" s="640">
        <v>4353</v>
      </c>
      <c r="G71" s="640" t="s">
        <v>51</v>
      </c>
      <c r="H71" s="641" t="s">
        <v>2472</v>
      </c>
      <c r="I71" s="640">
        <v>1E-3</v>
      </c>
      <c r="J71" s="641" t="s">
        <v>2473</v>
      </c>
      <c r="K71" s="640">
        <v>97</v>
      </c>
      <c r="L71" s="640">
        <v>1083</v>
      </c>
      <c r="M71" s="34"/>
      <c r="N71" s="34"/>
      <c r="O71" s="640" t="s">
        <v>973</v>
      </c>
      <c r="P71" s="34"/>
      <c r="Q71" s="33"/>
      <c r="R71" s="34">
        <v>70130050108</v>
      </c>
      <c r="S71" s="641" t="s">
        <v>2401</v>
      </c>
      <c r="T71" s="641" t="s">
        <v>1504</v>
      </c>
      <c r="U71" s="642"/>
    </row>
    <row r="72" spans="1:21" s="398" customFormat="1" ht="12" x14ac:dyDescent="0.3">
      <c r="A72" s="605"/>
      <c r="B72" s="970"/>
      <c r="C72" s="397">
        <v>9.2999999999999999E-2</v>
      </c>
      <c r="D72" s="12">
        <v>0.59599999999999997</v>
      </c>
      <c r="E72" s="616"/>
      <c r="F72" s="621"/>
      <c r="G72" s="621"/>
      <c r="H72" s="633"/>
      <c r="I72" s="621"/>
      <c r="J72" s="633"/>
      <c r="K72" s="621"/>
      <c r="L72" s="621"/>
      <c r="M72" s="13"/>
      <c r="N72" s="13"/>
      <c r="O72" s="621"/>
      <c r="P72" s="13"/>
      <c r="Q72" s="13"/>
      <c r="R72" s="621">
        <v>70130050096</v>
      </c>
      <c r="S72" s="633"/>
      <c r="T72" s="633"/>
      <c r="U72" s="636"/>
    </row>
    <row r="73" spans="1:21" s="398" customFormat="1" ht="31.95" customHeight="1" thickBot="1" x14ac:dyDescent="0.35">
      <c r="A73" s="606"/>
      <c r="B73" s="964"/>
      <c r="C73" s="399">
        <v>0.59599999999999997</v>
      </c>
      <c r="D73" s="18">
        <v>0.61899999999999999</v>
      </c>
      <c r="E73" s="639"/>
      <c r="F73" s="19">
        <v>115</v>
      </c>
      <c r="G73" s="19" t="s">
        <v>32</v>
      </c>
      <c r="H73" s="20"/>
      <c r="I73" s="19"/>
      <c r="J73" s="20"/>
      <c r="K73" s="19"/>
      <c r="L73" s="19"/>
      <c r="M73" s="19"/>
      <c r="N73" s="19"/>
      <c r="O73" s="19"/>
      <c r="P73" s="19"/>
      <c r="Q73" s="19"/>
      <c r="R73" s="631"/>
      <c r="S73" s="634"/>
      <c r="T73" s="634"/>
      <c r="U73" s="637"/>
    </row>
    <row r="74" spans="1:21" s="398" customFormat="1" ht="36.6" thickBot="1" x14ac:dyDescent="0.35">
      <c r="A74" s="40" t="s">
        <v>2474</v>
      </c>
      <c r="B74" s="305" t="s">
        <v>2475</v>
      </c>
      <c r="C74" s="396">
        <v>0</v>
      </c>
      <c r="D74" s="26">
        <v>0.42599999999999999</v>
      </c>
      <c r="E74" s="26">
        <v>0.42599999999999999</v>
      </c>
      <c r="F74" s="27">
        <v>3408</v>
      </c>
      <c r="G74" s="27" t="s">
        <v>51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>
        <v>70130010074</v>
      </c>
      <c r="S74" s="3" t="s">
        <v>2401</v>
      </c>
      <c r="T74" s="3" t="s">
        <v>1504</v>
      </c>
      <c r="U74" s="110"/>
    </row>
    <row r="75" spans="1:21" x14ac:dyDescent="0.3">
      <c r="A75" s="604" t="s">
        <v>2476</v>
      </c>
      <c r="B75" s="963" t="s">
        <v>948</v>
      </c>
      <c r="C75" s="395">
        <v>0</v>
      </c>
      <c r="D75" s="32">
        <v>0.22800000000000001</v>
      </c>
      <c r="E75" s="615">
        <v>0.55400000000000005</v>
      </c>
      <c r="F75" s="640">
        <v>2770</v>
      </c>
      <c r="G75" s="640" t="s">
        <v>32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>
        <v>70130040083</v>
      </c>
      <c r="S75" s="641" t="s">
        <v>2401</v>
      </c>
      <c r="T75" s="641" t="s">
        <v>1504</v>
      </c>
      <c r="U75" s="642"/>
    </row>
    <row r="76" spans="1:21" ht="49.95" customHeight="1" thickBot="1" x14ac:dyDescent="0.35">
      <c r="A76" s="606"/>
      <c r="B76" s="964"/>
      <c r="C76" s="399">
        <v>0.22800000000000001</v>
      </c>
      <c r="D76" s="18">
        <v>0.55400000000000005</v>
      </c>
      <c r="E76" s="639"/>
      <c r="F76" s="631"/>
      <c r="G76" s="631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>
        <v>70130040101</v>
      </c>
      <c r="S76" s="634"/>
      <c r="T76" s="634"/>
      <c r="U76" s="637"/>
    </row>
    <row r="77" spans="1:21" ht="36.6" thickBot="1" x14ac:dyDescent="0.35">
      <c r="A77" s="40" t="s">
        <v>2477</v>
      </c>
      <c r="B77" s="305" t="s">
        <v>2478</v>
      </c>
      <c r="C77" s="396">
        <v>0</v>
      </c>
      <c r="D77" s="26">
        <v>0.60699999999999998</v>
      </c>
      <c r="E77" s="26">
        <v>0.60699999999999998</v>
      </c>
      <c r="F77" s="27">
        <v>4249</v>
      </c>
      <c r="G77" s="27" t="s">
        <v>51</v>
      </c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>
        <v>70130050091</v>
      </c>
      <c r="S77" s="3" t="s">
        <v>2401</v>
      </c>
      <c r="T77" s="3" t="s">
        <v>1504</v>
      </c>
      <c r="U77" s="110"/>
    </row>
    <row r="78" spans="1:21" ht="36" x14ac:dyDescent="0.3">
      <c r="A78" s="643" t="s">
        <v>2479</v>
      </c>
      <c r="B78" s="963" t="s">
        <v>2480</v>
      </c>
      <c r="C78" s="395">
        <v>0</v>
      </c>
      <c r="D78" s="32">
        <v>5.2999999999999999E-2</v>
      </c>
      <c r="E78" s="615">
        <v>0.126</v>
      </c>
      <c r="F78" s="640">
        <v>1002</v>
      </c>
      <c r="G78" s="640" t="s">
        <v>51</v>
      </c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>
        <v>70130050042</v>
      </c>
      <c r="S78" s="641" t="s">
        <v>2401</v>
      </c>
      <c r="T78" s="33" t="s">
        <v>1504</v>
      </c>
      <c r="U78" s="642"/>
    </row>
    <row r="79" spans="1:21" ht="36.6" thickBot="1" x14ac:dyDescent="0.35">
      <c r="A79" s="644"/>
      <c r="B79" s="964"/>
      <c r="C79" s="399">
        <v>5.2999999999999999E-2</v>
      </c>
      <c r="D79" s="18">
        <v>0.126</v>
      </c>
      <c r="E79" s="639"/>
      <c r="F79" s="631"/>
      <c r="G79" s="631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>
        <v>70130050004</v>
      </c>
      <c r="S79" s="634"/>
      <c r="T79" s="20" t="s">
        <v>1504</v>
      </c>
      <c r="U79" s="637"/>
    </row>
    <row r="81" spans="1:32" ht="24" x14ac:dyDescent="0.25">
      <c r="B81" s="61" t="s">
        <v>202</v>
      </c>
    </row>
    <row r="82" spans="1:32" ht="24" x14ac:dyDescent="0.25">
      <c r="B82" s="61" t="s">
        <v>203</v>
      </c>
    </row>
    <row r="83" spans="1:32" ht="24" x14ac:dyDescent="0.25">
      <c r="B83" s="61" t="s">
        <v>204</v>
      </c>
    </row>
    <row r="84" spans="1:32" ht="24" x14ac:dyDescent="0.25">
      <c r="B84" s="61" t="s">
        <v>205</v>
      </c>
    </row>
    <row r="86" spans="1:32" s="59" customFormat="1" ht="27.6" customHeight="1" x14ac:dyDescent="0.25">
      <c r="A86" s="509"/>
      <c r="B86" s="509"/>
      <c r="C86" s="512" t="s">
        <v>3985</v>
      </c>
      <c r="D86" s="543" t="s">
        <v>3986</v>
      </c>
      <c r="E86" s="543"/>
      <c r="F86" s="543"/>
      <c r="G86" s="509"/>
      <c r="H86" s="509"/>
      <c r="I86" s="509"/>
      <c r="J86" s="509"/>
      <c r="K86" s="509"/>
      <c r="L86" s="509"/>
      <c r="M86" s="509"/>
      <c r="N86" s="509"/>
      <c r="O86" s="509"/>
      <c r="P86" s="509"/>
      <c r="Q86" s="509"/>
      <c r="R86" s="509"/>
      <c r="S86" s="509"/>
      <c r="T86" s="509"/>
      <c r="U86" s="509"/>
      <c r="V86" s="509"/>
      <c r="W86" s="509"/>
      <c r="X86" s="509"/>
      <c r="Y86" s="509"/>
      <c r="Z86" s="509"/>
      <c r="AA86" s="509"/>
      <c r="AB86" s="509"/>
      <c r="AC86" s="509"/>
      <c r="AD86" s="509"/>
      <c r="AE86" s="510"/>
      <c r="AF86" s="510"/>
    </row>
    <row r="87" spans="1:32" s="59" customFormat="1" ht="13.8" x14ac:dyDescent="0.25">
      <c r="A87" s="509"/>
      <c r="B87" s="509"/>
      <c r="C87" s="509"/>
      <c r="D87" s="509"/>
      <c r="E87" s="509"/>
      <c r="F87" s="509"/>
      <c r="G87" s="509"/>
      <c r="H87" s="509"/>
      <c r="I87" s="509"/>
      <c r="J87" s="509"/>
      <c r="K87" s="509"/>
      <c r="L87" s="509"/>
      <c r="M87" s="509"/>
      <c r="N87" s="509"/>
      <c r="O87" s="509"/>
      <c r="P87" s="509"/>
      <c r="Q87" s="509"/>
      <c r="R87" s="509"/>
      <c r="S87" s="509"/>
      <c r="T87" s="509"/>
      <c r="U87" s="509"/>
      <c r="V87" s="509"/>
      <c r="W87" s="509"/>
      <c r="X87" s="509"/>
      <c r="Y87" s="509"/>
      <c r="Z87" s="509"/>
      <c r="AA87" s="509"/>
      <c r="AB87" s="509"/>
      <c r="AC87" s="509"/>
      <c r="AD87" s="509"/>
      <c r="AE87" s="510"/>
      <c r="AF87" s="510"/>
    </row>
    <row r="88" spans="1:32" s="59" customFormat="1" ht="13.8" x14ac:dyDescent="0.25">
      <c r="A88" s="509"/>
      <c r="B88" s="509"/>
      <c r="C88" s="509"/>
      <c r="D88" s="509"/>
      <c r="E88" s="509"/>
      <c r="F88" s="509"/>
      <c r="G88" s="509"/>
      <c r="H88" s="509"/>
      <c r="I88" s="509"/>
      <c r="J88" s="509"/>
      <c r="K88" s="509"/>
      <c r="L88" s="509"/>
      <c r="M88" s="509"/>
      <c r="N88" s="509"/>
      <c r="O88" s="509"/>
      <c r="P88" s="509"/>
      <c r="Q88" s="509"/>
      <c r="R88" s="509"/>
      <c r="S88" s="509"/>
      <c r="T88" s="509"/>
      <c r="U88" s="509"/>
      <c r="V88" s="509"/>
      <c r="W88" s="509"/>
      <c r="X88" s="509"/>
      <c r="Y88" s="509"/>
      <c r="Z88" s="509"/>
      <c r="AA88" s="509"/>
      <c r="AB88" s="509"/>
      <c r="AC88" s="509"/>
      <c r="AD88" s="509"/>
      <c r="AE88" s="417"/>
      <c r="AF88" s="510"/>
    </row>
    <row r="89" spans="1:32" s="59" customFormat="1" ht="13.8" x14ac:dyDescent="0.25">
      <c r="B89" s="60"/>
      <c r="C89" s="438" t="s">
        <v>3989</v>
      </c>
      <c r="D89" s="544" t="s">
        <v>3990</v>
      </c>
      <c r="E89" s="544"/>
      <c r="F89" s="544"/>
      <c r="G89" s="544"/>
      <c r="H89" s="544"/>
      <c r="I89" s="544"/>
      <c r="T89" s="60"/>
      <c r="U89" s="60"/>
    </row>
    <row r="90" spans="1:32" s="59" customFormat="1" ht="13.95" customHeight="1" x14ac:dyDescent="0.25">
      <c r="B90" s="60"/>
      <c r="C90" s="438" t="s">
        <v>3987</v>
      </c>
      <c r="D90" s="553" t="s">
        <v>3988</v>
      </c>
      <c r="E90" s="553"/>
      <c r="F90" s="553"/>
      <c r="G90" s="553"/>
      <c r="H90" s="553"/>
      <c r="I90" s="553"/>
      <c r="T90" s="60"/>
      <c r="U90" s="60"/>
    </row>
    <row r="91" spans="1:32" s="59" customFormat="1" ht="14.4" customHeight="1" x14ac:dyDescent="0.25">
      <c r="T91" s="60"/>
      <c r="U91" s="60"/>
    </row>
    <row r="92" spans="1:32" s="59" customFormat="1" ht="13.8" x14ac:dyDescent="0.25">
      <c r="A92" s="469"/>
      <c r="B92" s="743" t="s">
        <v>3984</v>
      </c>
      <c r="C92" s="743"/>
      <c r="D92" s="743"/>
      <c r="E92" s="743"/>
      <c r="F92" s="743"/>
      <c r="G92" s="743"/>
      <c r="H92" s="743"/>
      <c r="I92" s="743"/>
      <c r="T92" s="304"/>
      <c r="U92" s="304"/>
    </row>
  </sheetData>
  <mergeCells count="166">
    <mergeCell ref="D86:F86"/>
    <mergeCell ref="D89:I89"/>
    <mergeCell ref="D90:I90"/>
    <mergeCell ref="B92:I92"/>
    <mergeCell ref="T75:T76"/>
    <mergeCell ref="U75:U76"/>
    <mergeCell ref="A78:A79"/>
    <mergeCell ref="B78:B79"/>
    <mergeCell ref="E78:E79"/>
    <mergeCell ref="F78:F79"/>
    <mergeCell ref="G78:G79"/>
    <mergeCell ref="S78:S79"/>
    <mergeCell ref="U78:U79"/>
    <mergeCell ref="A75:A76"/>
    <mergeCell ref="B75:B76"/>
    <mergeCell ref="E75:E76"/>
    <mergeCell ref="F75:F76"/>
    <mergeCell ref="G75:G76"/>
    <mergeCell ref="S75:S76"/>
    <mergeCell ref="L71:L72"/>
    <mergeCell ref="O71:O72"/>
    <mergeCell ref="S71:S73"/>
    <mergeCell ref="T71:T73"/>
    <mergeCell ref="U71:U73"/>
    <mergeCell ref="R72:R73"/>
    <mergeCell ref="U69:U70"/>
    <mergeCell ref="A71:A73"/>
    <mergeCell ref="B71:B73"/>
    <mergeCell ref="E71:E73"/>
    <mergeCell ref="F71:F72"/>
    <mergeCell ref="G71:G72"/>
    <mergeCell ref="H71:H72"/>
    <mergeCell ref="I71:I72"/>
    <mergeCell ref="J71:J72"/>
    <mergeCell ref="K71:K72"/>
    <mergeCell ref="A69:A70"/>
    <mergeCell ref="B69:B70"/>
    <mergeCell ref="E69:E70"/>
    <mergeCell ref="R69:R70"/>
    <mergeCell ref="S69:S70"/>
    <mergeCell ref="T69:T70"/>
    <mergeCell ref="T59:T60"/>
    <mergeCell ref="U59:U60"/>
    <mergeCell ref="A62:A63"/>
    <mergeCell ref="B62:B63"/>
    <mergeCell ref="E62:E63"/>
    <mergeCell ref="F62:F63"/>
    <mergeCell ref="G62:G63"/>
    <mergeCell ref="S62:S63"/>
    <mergeCell ref="T62:T63"/>
    <mergeCell ref="U62:U63"/>
    <mergeCell ref="A59:A60"/>
    <mergeCell ref="B59:B60"/>
    <mergeCell ref="E59:E60"/>
    <mergeCell ref="F59:F60"/>
    <mergeCell ref="G59:G60"/>
    <mergeCell ref="S59:S60"/>
    <mergeCell ref="A57:A58"/>
    <mergeCell ref="B57:B58"/>
    <mergeCell ref="E57:E58"/>
    <mergeCell ref="S57:S58"/>
    <mergeCell ref="T57:T58"/>
    <mergeCell ref="U57:U58"/>
    <mergeCell ref="U51:U52"/>
    <mergeCell ref="A53:A54"/>
    <mergeCell ref="B53:B54"/>
    <mergeCell ref="E53:E54"/>
    <mergeCell ref="F53:F54"/>
    <mergeCell ref="G53:G54"/>
    <mergeCell ref="S53:S54"/>
    <mergeCell ref="T53:T54"/>
    <mergeCell ref="U53:U54"/>
    <mergeCell ref="A51:A52"/>
    <mergeCell ref="B51:B52"/>
    <mergeCell ref="E51:E52"/>
    <mergeCell ref="R51:R52"/>
    <mergeCell ref="S51:S52"/>
    <mergeCell ref="T51:T52"/>
    <mergeCell ref="A43:A44"/>
    <mergeCell ref="B43:B44"/>
    <mergeCell ref="E43:E44"/>
    <mergeCell ref="S43:S44"/>
    <mergeCell ref="T43:T44"/>
    <mergeCell ref="U43:U44"/>
    <mergeCell ref="U37:U39"/>
    <mergeCell ref="A41:A42"/>
    <mergeCell ref="B41:B42"/>
    <mergeCell ref="E41:E42"/>
    <mergeCell ref="F41:F42"/>
    <mergeCell ref="G41:G42"/>
    <mergeCell ref="S41:S42"/>
    <mergeCell ref="T41:T42"/>
    <mergeCell ref="U41:U42"/>
    <mergeCell ref="S35:S36"/>
    <mergeCell ref="T35:T36"/>
    <mergeCell ref="U35:U36"/>
    <mergeCell ref="A37:A39"/>
    <mergeCell ref="B37:B39"/>
    <mergeCell ref="E37:E39"/>
    <mergeCell ref="F37:F39"/>
    <mergeCell ref="G37:G39"/>
    <mergeCell ref="S37:S39"/>
    <mergeCell ref="T37:T39"/>
    <mergeCell ref="A35:A36"/>
    <mergeCell ref="B35:B36"/>
    <mergeCell ref="E35:E36"/>
    <mergeCell ref="F35:F36"/>
    <mergeCell ref="G35:G36"/>
    <mergeCell ref="R35:R36"/>
    <mergeCell ref="A19:A32"/>
    <mergeCell ref="B19:B32"/>
    <mergeCell ref="E19:E32"/>
    <mergeCell ref="F19:F21"/>
    <mergeCell ref="G19:G21"/>
    <mergeCell ref="S19:S32"/>
    <mergeCell ref="T19:T32"/>
    <mergeCell ref="U19:U32"/>
    <mergeCell ref="R20:R21"/>
    <mergeCell ref="C22:C27"/>
    <mergeCell ref="D22:D27"/>
    <mergeCell ref="F22:F27"/>
    <mergeCell ref="G22:G27"/>
    <mergeCell ref="C28:C32"/>
    <mergeCell ref="D28:D32"/>
    <mergeCell ref="F28:F32"/>
    <mergeCell ref="G28:G32"/>
    <mergeCell ref="R4:R5"/>
    <mergeCell ref="A8:A9"/>
    <mergeCell ref="B8:B9"/>
    <mergeCell ref="E8:E9"/>
    <mergeCell ref="R8:R9"/>
    <mergeCell ref="S8:S9"/>
    <mergeCell ref="T8:T9"/>
    <mergeCell ref="U8:U9"/>
    <mergeCell ref="A12:A14"/>
    <mergeCell ref="B12:B14"/>
    <mergeCell ref="E12:E14"/>
    <mergeCell ref="F12:F13"/>
    <mergeCell ref="G12:G13"/>
    <mergeCell ref="S12:S14"/>
    <mergeCell ref="T12:T14"/>
    <mergeCell ref="U12:U14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  <mergeCell ref="O4:O5"/>
    <mergeCell ref="P4:P5"/>
    <mergeCell ref="Q4:Q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FC31-4454-4D6D-8874-E02594ED6B8D}">
  <dimension ref="A1:AF247"/>
  <sheetViews>
    <sheetView workbookViewId="0">
      <selection activeCell="N15" sqref="N15"/>
    </sheetView>
  </sheetViews>
  <sheetFormatPr defaultRowHeight="14.4" x14ac:dyDescent="0.3"/>
  <cols>
    <col min="1" max="1" width="15.5546875" bestFit="1" customWidth="1"/>
    <col min="2" max="2" width="33.109375" customWidth="1"/>
    <col min="3" max="3" width="12.109375" customWidth="1"/>
    <col min="4" max="4" width="7.109375" customWidth="1"/>
    <col min="5" max="5" width="11.33203125" style="404" bestFit="1" customWidth="1"/>
    <col min="6" max="6" width="11.5546875" customWidth="1"/>
    <col min="7" max="7" width="12.88671875" customWidth="1"/>
    <col min="8" max="8" width="13.33203125" bestFit="1" customWidth="1"/>
    <col min="9" max="9" width="11.88671875" customWidth="1"/>
    <col min="10" max="10" width="10.44140625" bestFit="1" customWidth="1"/>
    <col min="11" max="11" width="6.6640625" bestFit="1" customWidth="1"/>
    <col min="12" max="12" width="13.6640625" customWidth="1"/>
    <col min="13" max="13" width="14.33203125" customWidth="1"/>
    <col min="14" max="14" width="16.44140625" customWidth="1"/>
    <col min="15" max="15" width="12.6640625" customWidth="1"/>
    <col min="16" max="16" width="15.33203125" customWidth="1"/>
    <col min="18" max="18" width="21.44140625" customWidth="1"/>
    <col min="19" max="19" width="15.5546875" customWidth="1"/>
    <col min="20" max="20" width="44" style="405" customWidth="1"/>
    <col min="21" max="21" width="30" style="406" customWidth="1"/>
  </cols>
  <sheetData>
    <row r="1" spans="1:21" ht="18" thickBot="1" x14ac:dyDescent="0.35">
      <c r="A1" s="1107" t="s">
        <v>2481</v>
      </c>
      <c r="B1" s="1107"/>
      <c r="C1" s="1107"/>
      <c r="D1" s="1107"/>
      <c r="E1" s="1107"/>
      <c r="F1" s="1107"/>
      <c r="G1" s="1107"/>
      <c r="H1" s="1107"/>
      <c r="I1" s="1107"/>
      <c r="J1" s="1107"/>
      <c r="K1" s="1107"/>
      <c r="L1" s="1107"/>
      <c r="M1" s="1107"/>
      <c r="N1" s="1107"/>
      <c r="O1" s="1107"/>
      <c r="P1" s="1107"/>
      <c r="Q1" s="1107"/>
      <c r="R1" s="1107"/>
      <c r="S1" s="1107"/>
      <c r="T1" s="1107"/>
      <c r="U1" s="1108"/>
    </row>
    <row r="2" spans="1:21" ht="15" thickBot="1" x14ac:dyDescent="0.35">
      <c r="A2" s="1013" t="s">
        <v>1</v>
      </c>
      <c r="B2" s="1015" t="s">
        <v>2</v>
      </c>
      <c r="C2" s="1017" t="s">
        <v>3</v>
      </c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9"/>
      <c r="R2" s="1021" t="s">
        <v>4</v>
      </c>
      <c r="S2" s="1110" t="s">
        <v>5</v>
      </c>
      <c r="T2" s="1113" t="s">
        <v>207</v>
      </c>
      <c r="U2" s="1113" t="s">
        <v>887</v>
      </c>
    </row>
    <row r="3" spans="1:21" ht="15" thickBot="1" x14ac:dyDescent="0.35">
      <c r="A3" s="1014"/>
      <c r="B3" s="1016"/>
      <c r="C3" s="1027" t="s">
        <v>8</v>
      </c>
      <c r="D3" s="1028"/>
      <c r="E3" s="1028"/>
      <c r="F3" s="1028"/>
      <c r="G3" s="1029"/>
      <c r="H3" s="1027" t="s">
        <v>9</v>
      </c>
      <c r="I3" s="1028"/>
      <c r="J3" s="1028"/>
      <c r="K3" s="1028"/>
      <c r="L3" s="1028"/>
      <c r="M3" s="1028"/>
      <c r="N3" s="1028"/>
      <c r="O3" s="1029"/>
      <c r="P3" s="1027" t="s">
        <v>10</v>
      </c>
      <c r="Q3" s="1029"/>
      <c r="R3" s="1109"/>
      <c r="S3" s="1111"/>
      <c r="T3" s="1114"/>
      <c r="U3" s="1114"/>
    </row>
    <row r="4" spans="1:21" ht="29.4" customHeight="1" thickBot="1" x14ac:dyDescent="0.35">
      <c r="A4" s="1014"/>
      <c r="B4" s="1016"/>
      <c r="C4" s="1027" t="s">
        <v>11</v>
      </c>
      <c r="D4" s="1029"/>
      <c r="E4" s="1116" t="s">
        <v>12</v>
      </c>
      <c r="F4" s="1030" t="s">
        <v>13</v>
      </c>
      <c r="G4" s="1030" t="s">
        <v>14</v>
      </c>
      <c r="H4" s="1030" t="s">
        <v>15</v>
      </c>
      <c r="I4" s="1027" t="s">
        <v>16</v>
      </c>
      <c r="J4" s="1029"/>
      <c r="K4" s="1030" t="s">
        <v>17</v>
      </c>
      <c r="L4" s="1030" t="s">
        <v>13</v>
      </c>
      <c r="M4" s="1030" t="s">
        <v>18</v>
      </c>
      <c r="N4" s="1030" t="s">
        <v>19</v>
      </c>
      <c r="O4" s="1030" t="s">
        <v>210</v>
      </c>
      <c r="P4" s="1030" t="s">
        <v>20</v>
      </c>
      <c r="Q4" s="1030" t="s">
        <v>17</v>
      </c>
      <c r="R4" s="1112" t="s">
        <v>21</v>
      </c>
      <c r="S4" s="1111"/>
      <c r="T4" s="1114"/>
      <c r="U4" s="1114"/>
    </row>
    <row r="5" spans="1:21" ht="49.95" customHeight="1" thickBot="1" x14ac:dyDescent="0.35">
      <c r="A5" s="1014"/>
      <c r="B5" s="1016"/>
      <c r="C5" s="315" t="s">
        <v>22</v>
      </c>
      <c r="D5" s="315" t="s">
        <v>23</v>
      </c>
      <c r="E5" s="1117"/>
      <c r="F5" s="1016"/>
      <c r="G5" s="1016"/>
      <c r="H5" s="1016"/>
      <c r="I5" s="315" t="s">
        <v>24</v>
      </c>
      <c r="J5" s="315" t="s">
        <v>25</v>
      </c>
      <c r="K5" s="1016"/>
      <c r="L5" s="1016"/>
      <c r="M5" s="1016"/>
      <c r="N5" s="1016"/>
      <c r="O5" s="1016"/>
      <c r="P5" s="1016"/>
      <c r="Q5" s="1016"/>
      <c r="R5" s="1022"/>
      <c r="S5" s="1111"/>
      <c r="T5" s="1115"/>
      <c r="U5" s="1115"/>
    </row>
    <row r="6" spans="1:21" ht="15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258">
        <v>21</v>
      </c>
    </row>
    <row r="7" spans="1:21" x14ac:dyDescent="0.3">
      <c r="A7" s="1000" t="s">
        <v>2482</v>
      </c>
      <c r="B7" s="618" t="s">
        <v>2483</v>
      </c>
      <c r="C7" s="1088">
        <v>0</v>
      </c>
      <c r="D7" s="1088">
        <v>4.2999999999999997E-2</v>
      </c>
      <c r="E7" s="1088">
        <v>1.448</v>
      </c>
      <c r="F7" s="632">
        <f>ROUND((E7*8.5*1000*1.2),0)</f>
        <v>14770</v>
      </c>
      <c r="G7" s="632" t="s">
        <v>51</v>
      </c>
      <c r="H7" s="9"/>
      <c r="I7" s="9"/>
      <c r="J7" s="9"/>
      <c r="K7" s="9"/>
      <c r="L7" s="9"/>
      <c r="M7" s="9"/>
      <c r="N7" s="9"/>
      <c r="O7" s="9"/>
      <c r="P7" s="632">
        <v>1720</v>
      </c>
      <c r="Q7" s="345"/>
      <c r="R7" s="8">
        <v>70010011136</v>
      </c>
      <c r="S7" s="632" t="s">
        <v>2484</v>
      </c>
      <c r="T7" s="632" t="s">
        <v>2485</v>
      </c>
      <c r="U7" s="635"/>
    </row>
    <row r="8" spans="1:21" x14ac:dyDescent="0.3">
      <c r="A8" s="742"/>
      <c r="B8" s="608"/>
      <c r="C8" s="653"/>
      <c r="D8" s="653"/>
      <c r="E8" s="653"/>
      <c r="F8" s="633"/>
      <c r="G8" s="633"/>
      <c r="H8" s="14"/>
      <c r="I8" s="14"/>
      <c r="J8" s="14"/>
      <c r="K8" s="14"/>
      <c r="L8" s="14"/>
      <c r="M8" s="14"/>
      <c r="N8" s="14"/>
      <c r="O8" s="14"/>
      <c r="P8" s="633"/>
      <c r="Q8" s="49"/>
      <c r="R8" s="14" t="s">
        <v>2486</v>
      </c>
      <c r="S8" s="633"/>
      <c r="T8" s="633"/>
      <c r="U8" s="636"/>
    </row>
    <row r="9" spans="1:21" x14ac:dyDescent="0.3">
      <c r="A9" s="742"/>
      <c r="B9" s="608"/>
      <c r="C9" s="653">
        <v>4.2999999999999997E-2</v>
      </c>
      <c r="D9" s="653">
        <v>1.448</v>
      </c>
      <c r="E9" s="653"/>
      <c r="F9" s="633"/>
      <c r="G9" s="633"/>
      <c r="H9" s="14"/>
      <c r="I9" s="14"/>
      <c r="J9" s="14"/>
      <c r="K9" s="14"/>
      <c r="L9" s="14"/>
      <c r="M9" s="14"/>
      <c r="N9" s="14"/>
      <c r="O9" s="14"/>
      <c r="P9" s="633"/>
      <c r="Q9" s="49">
        <v>860</v>
      </c>
      <c r="R9" s="14" t="s">
        <v>2486</v>
      </c>
      <c r="S9" s="633"/>
      <c r="T9" s="633"/>
      <c r="U9" s="636"/>
    </row>
    <row r="10" spans="1:21" ht="15" thickBot="1" x14ac:dyDescent="0.35">
      <c r="A10" s="644"/>
      <c r="B10" s="609"/>
      <c r="C10" s="650"/>
      <c r="D10" s="650"/>
      <c r="E10" s="650"/>
      <c r="F10" s="634"/>
      <c r="G10" s="634"/>
      <c r="H10" s="20"/>
      <c r="I10" s="20"/>
      <c r="J10" s="20"/>
      <c r="K10" s="20"/>
      <c r="L10" s="20"/>
      <c r="M10" s="19"/>
      <c r="N10" s="19"/>
      <c r="O10" s="20"/>
      <c r="P10" s="634"/>
      <c r="Q10" s="47"/>
      <c r="R10" s="20">
        <v>70010011264</v>
      </c>
      <c r="S10" s="634"/>
      <c r="T10" s="634"/>
      <c r="U10" s="637"/>
    </row>
    <row r="11" spans="1:21" x14ac:dyDescent="0.3">
      <c r="A11" s="643" t="s">
        <v>2487</v>
      </c>
      <c r="B11" s="607" t="s">
        <v>2488</v>
      </c>
      <c r="C11" s="36">
        <v>0</v>
      </c>
      <c r="D11" s="36">
        <v>1.103</v>
      </c>
      <c r="E11" s="649">
        <v>1.1830000000000001</v>
      </c>
      <c r="F11" s="33">
        <f>ROUND((D11*7.4*1000*1.25),0)</f>
        <v>10203</v>
      </c>
      <c r="G11" s="641" t="s">
        <v>51</v>
      </c>
      <c r="H11" s="641" t="s">
        <v>3995</v>
      </c>
      <c r="I11" s="641">
        <v>0.47599999999999998</v>
      </c>
      <c r="J11" s="33" t="s">
        <v>3996</v>
      </c>
      <c r="K11" s="1187">
        <v>9</v>
      </c>
      <c r="L11" s="641">
        <v>72</v>
      </c>
      <c r="M11" s="34"/>
      <c r="N11" s="34"/>
      <c r="O11" s="641" t="s">
        <v>464</v>
      </c>
      <c r="P11" s="641"/>
      <c r="Q11" s="44"/>
      <c r="R11" s="33">
        <v>70010011261</v>
      </c>
      <c r="S11" s="641" t="s">
        <v>2484</v>
      </c>
      <c r="T11" s="641" t="s">
        <v>2485</v>
      </c>
      <c r="U11" s="642" t="s">
        <v>67</v>
      </c>
    </row>
    <row r="12" spans="1:21" x14ac:dyDescent="0.3">
      <c r="A12" s="742"/>
      <c r="B12" s="608"/>
      <c r="C12" s="653">
        <v>1.103</v>
      </c>
      <c r="D12" s="653">
        <v>1.1830000000000001</v>
      </c>
      <c r="E12" s="653"/>
      <c r="F12" s="633">
        <v>520</v>
      </c>
      <c r="G12" s="633"/>
      <c r="H12" s="633"/>
      <c r="I12" s="633"/>
      <c r="J12" s="14" t="s">
        <v>3997</v>
      </c>
      <c r="K12" s="1188"/>
      <c r="L12" s="633"/>
      <c r="M12" s="13"/>
      <c r="N12" s="13"/>
      <c r="O12" s="633"/>
      <c r="P12" s="633"/>
      <c r="Q12" s="49"/>
      <c r="R12" s="14">
        <v>70010011261</v>
      </c>
      <c r="S12" s="633"/>
      <c r="T12" s="633"/>
      <c r="U12" s="636"/>
    </row>
    <row r="13" spans="1:21" ht="15" thickBot="1" x14ac:dyDescent="0.35">
      <c r="A13" s="644"/>
      <c r="B13" s="609"/>
      <c r="C13" s="650"/>
      <c r="D13" s="650"/>
      <c r="E13" s="650"/>
      <c r="F13" s="634"/>
      <c r="G13" s="634"/>
      <c r="H13" s="20"/>
      <c r="I13" s="20"/>
      <c r="J13" s="20"/>
      <c r="K13" s="401"/>
      <c r="L13" s="20"/>
      <c r="M13" s="19"/>
      <c r="N13" s="19"/>
      <c r="O13" s="20"/>
      <c r="P13" s="20"/>
      <c r="Q13" s="47"/>
      <c r="R13" s="20" t="s">
        <v>2489</v>
      </c>
      <c r="S13" s="634"/>
      <c r="T13" s="634"/>
      <c r="U13" s="637"/>
    </row>
    <row r="14" spans="1:21" x14ac:dyDescent="0.3">
      <c r="A14" s="643" t="s">
        <v>2490</v>
      </c>
      <c r="B14" s="607" t="s">
        <v>934</v>
      </c>
      <c r="C14" s="36">
        <v>0</v>
      </c>
      <c r="D14" s="36">
        <v>1.179</v>
      </c>
      <c r="E14" s="649">
        <v>1.794</v>
      </c>
      <c r="F14" s="33">
        <f>ROUND((D14*10.8*1000),0)</f>
        <v>12733</v>
      </c>
      <c r="G14" s="641" t="s">
        <v>51</v>
      </c>
      <c r="H14" s="33"/>
      <c r="I14" s="33"/>
      <c r="J14" s="33"/>
      <c r="K14" s="33"/>
      <c r="L14" s="33"/>
      <c r="M14" s="34"/>
      <c r="N14" s="34"/>
      <c r="O14" s="33"/>
      <c r="P14" s="641">
        <v>5662</v>
      </c>
      <c r="Q14" s="647">
        <v>3146</v>
      </c>
      <c r="R14" s="641">
        <v>70010011283</v>
      </c>
      <c r="S14" s="640" t="s">
        <v>2484</v>
      </c>
      <c r="T14" s="641" t="s">
        <v>2485</v>
      </c>
      <c r="U14" s="642"/>
    </row>
    <row r="15" spans="1:21" x14ac:dyDescent="0.3">
      <c r="A15" s="742"/>
      <c r="B15" s="608"/>
      <c r="C15" s="37">
        <v>1.179</v>
      </c>
      <c r="D15" s="37">
        <v>1.6890000000000001</v>
      </c>
      <c r="E15" s="653"/>
      <c r="F15" s="14">
        <f>ROUND(((D15-C15)*10.8*1000),0)</f>
        <v>5508</v>
      </c>
      <c r="G15" s="633"/>
      <c r="H15" s="14"/>
      <c r="I15" s="14"/>
      <c r="J15" s="14"/>
      <c r="K15" s="14"/>
      <c r="L15" s="14"/>
      <c r="M15" s="13"/>
      <c r="N15" s="13"/>
      <c r="O15" s="14"/>
      <c r="P15" s="633"/>
      <c r="Q15" s="655"/>
      <c r="R15" s="633"/>
      <c r="S15" s="621"/>
      <c r="T15" s="633"/>
      <c r="U15" s="636"/>
    </row>
    <row r="16" spans="1:21" ht="15" thickBot="1" x14ac:dyDescent="0.35">
      <c r="A16" s="644"/>
      <c r="B16" s="609"/>
      <c r="C16" s="38">
        <v>1.6890000000000001</v>
      </c>
      <c r="D16" s="38">
        <v>1.794</v>
      </c>
      <c r="E16" s="650"/>
      <c r="F16" s="20">
        <v>1050</v>
      </c>
      <c r="G16" s="634"/>
      <c r="H16" s="20"/>
      <c r="I16" s="20"/>
      <c r="J16" s="20"/>
      <c r="K16" s="20"/>
      <c r="L16" s="20"/>
      <c r="M16" s="19"/>
      <c r="N16" s="19"/>
      <c r="O16" s="20"/>
      <c r="P16" s="634"/>
      <c r="Q16" s="648"/>
      <c r="R16" s="634"/>
      <c r="S16" s="631"/>
      <c r="T16" s="634"/>
      <c r="U16" s="637"/>
    </row>
    <row r="17" spans="1:21" x14ac:dyDescent="0.3">
      <c r="A17" s="643" t="s">
        <v>2491</v>
      </c>
      <c r="B17" s="607" t="s">
        <v>936</v>
      </c>
      <c r="C17" s="36">
        <v>0</v>
      </c>
      <c r="D17" s="36">
        <v>1.361</v>
      </c>
      <c r="E17" s="649">
        <v>1.7310000000000001</v>
      </c>
      <c r="F17" s="647">
        <f>(10548+551+323)*1.25</f>
        <v>14277.5</v>
      </c>
      <c r="G17" s="641" t="s">
        <v>51</v>
      </c>
      <c r="H17" s="33"/>
      <c r="I17" s="33"/>
      <c r="J17" s="33"/>
      <c r="K17" s="33"/>
      <c r="L17" s="33"/>
      <c r="M17" s="34"/>
      <c r="N17" s="34"/>
      <c r="O17" s="33"/>
      <c r="P17" s="641">
        <v>5225</v>
      </c>
      <c r="Q17" s="44">
        <v>3336</v>
      </c>
      <c r="R17" s="33">
        <v>70010011286</v>
      </c>
      <c r="S17" s="640" t="s">
        <v>2484</v>
      </c>
      <c r="T17" s="641" t="s">
        <v>2485</v>
      </c>
      <c r="U17" s="642" t="s">
        <v>67</v>
      </c>
    </row>
    <row r="18" spans="1:21" x14ac:dyDescent="0.3">
      <c r="A18" s="742"/>
      <c r="B18" s="608"/>
      <c r="C18" s="37">
        <v>1.361</v>
      </c>
      <c r="D18" s="37">
        <v>1.508</v>
      </c>
      <c r="E18" s="653"/>
      <c r="F18" s="655"/>
      <c r="G18" s="633"/>
      <c r="H18" s="14"/>
      <c r="I18" s="14"/>
      <c r="J18" s="14"/>
      <c r="K18" s="14"/>
      <c r="L18" s="14"/>
      <c r="M18" s="13"/>
      <c r="N18" s="13"/>
      <c r="O18" s="14"/>
      <c r="P18" s="633"/>
      <c r="Q18" s="49"/>
      <c r="R18" s="14">
        <v>70010011509</v>
      </c>
      <c r="S18" s="621"/>
      <c r="T18" s="633"/>
      <c r="U18" s="636"/>
    </row>
    <row r="19" spans="1:21" x14ac:dyDescent="0.3">
      <c r="A19" s="742"/>
      <c r="B19" s="608"/>
      <c r="C19" s="37">
        <v>1.508</v>
      </c>
      <c r="D19" s="37">
        <v>1.593</v>
      </c>
      <c r="E19" s="653"/>
      <c r="F19" s="655"/>
      <c r="G19" s="633"/>
      <c r="H19" s="14"/>
      <c r="I19" s="14"/>
      <c r="J19" s="14"/>
      <c r="K19" s="14"/>
      <c r="L19" s="14"/>
      <c r="M19" s="13"/>
      <c r="N19" s="13"/>
      <c r="O19" s="14"/>
      <c r="P19" s="14"/>
      <c r="Q19" s="49"/>
      <c r="R19" s="14">
        <v>70010011508</v>
      </c>
      <c r="S19" s="621"/>
      <c r="T19" s="633"/>
      <c r="U19" s="636"/>
    </row>
    <row r="20" spans="1:21" ht="15" thickBot="1" x14ac:dyDescent="0.35">
      <c r="A20" s="644"/>
      <c r="B20" s="609"/>
      <c r="C20" s="38">
        <v>1.593</v>
      </c>
      <c r="D20" s="38">
        <v>1.7310000000000001</v>
      </c>
      <c r="E20" s="650"/>
      <c r="F20" s="20">
        <v>1909</v>
      </c>
      <c r="G20" s="634"/>
      <c r="H20" s="20"/>
      <c r="I20" s="20"/>
      <c r="J20" s="20"/>
      <c r="K20" s="20"/>
      <c r="L20" s="20"/>
      <c r="M20" s="19"/>
      <c r="N20" s="19"/>
      <c r="O20" s="20"/>
      <c r="P20" s="20"/>
      <c r="Q20" s="47"/>
      <c r="R20" s="20">
        <v>70010011286</v>
      </c>
      <c r="S20" s="631"/>
      <c r="T20" s="634"/>
      <c r="U20" s="637"/>
    </row>
    <row r="21" spans="1:21" x14ac:dyDescent="0.3">
      <c r="A21" s="643" t="s">
        <v>2492</v>
      </c>
      <c r="B21" s="607" t="s">
        <v>1135</v>
      </c>
      <c r="C21" s="36">
        <v>0</v>
      </c>
      <c r="D21" s="36">
        <v>0.155</v>
      </c>
      <c r="E21" s="649">
        <v>6.4530000000000003</v>
      </c>
      <c r="F21" s="33">
        <v>1666</v>
      </c>
      <c r="G21" s="641" t="s">
        <v>51</v>
      </c>
      <c r="H21" s="33"/>
      <c r="I21" s="33"/>
      <c r="J21" s="33"/>
      <c r="K21" s="33"/>
      <c r="L21" s="33"/>
      <c r="M21" s="34"/>
      <c r="N21" s="34"/>
      <c r="O21" s="33"/>
      <c r="P21" s="33">
        <v>20193</v>
      </c>
      <c r="Q21" s="44">
        <v>6310</v>
      </c>
      <c r="R21" s="641">
        <v>70660010052</v>
      </c>
      <c r="S21" s="640" t="s">
        <v>2484</v>
      </c>
      <c r="T21" s="641" t="s">
        <v>2485</v>
      </c>
      <c r="U21" s="642" t="s">
        <v>67</v>
      </c>
    </row>
    <row r="22" spans="1:21" x14ac:dyDescent="0.3">
      <c r="A22" s="742"/>
      <c r="B22" s="608"/>
      <c r="C22" s="37">
        <v>0.155</v>
      </c>
      <c r="D22" s="37">
        <v>0.55500000000000005</v>
      </c>
      <c r="E22" s="653"/>
      <c r="F22" s="655">
        <f>(6105+2299+1782+3130+9603+12080+4130+18063)*1.15</f>
        <v>65770.799999999988</v>
      </c>
      <c r="G22" s="633"/>
      <c r="H22" s="14"/>
      <c r="I22" s="14"/>
      <c r="J22" s="14"/>
      <c r="K22" s="14"/>
      <c r="L22" s="14"/>
      <c r="M22" s="13"/>
      <c r="N22" s="13"/>
      <c r="O22" s="14"/>
      <c r="P22" s="14"/>
      <c r="Q22" s="49"/>
      <c r="R22" s="633"/>
      <c r="S22" s="621"/>
      <c r="T22" s="633"/>
      <c r="U22" s="636"/>
    </row>
    <row r="23" spans="1:21" x14ac:dyDescent="0.3">
      <c r="A23" s="742"/>
      <c r="B23" s="608"/>
      <c r="C23" s="37">
        <v>0.55500000000000005</v>
      </c>
      <c r="D23" s="37">
        <v>0.76400000000000001</v>
      </c>
      <c r="E23" s="653"/>
      <c r="F23" s="655"/>
      <c r="G23" s="633"/>
      <c r="H23" s="14"/>
      <c r="I23" s="14"/>
      <c r="J23" s="14"/>
      <c r="K23" s="14"/>
      <c r="L23" s="14"/>
      <c r="M23" s="13"/>
      <c r="N23" s="13"/>
      <c r="O23" s="14"/>
      <c r="P23" s="14"/>
      <c r="Q23" s="49"/>
      <c r="R23" s="14">
        <v>70010011626</v>
      </c>
      <c r="S23" s="621"/>
      <c r="T23" s="633"/>
      <c r="U23" s="636"/>
    </row>
    <row r="24" spans="1:21" x14ac:dyDescent="0.3">
      <c r="A24" s="742"/>
      <c r="B24" s="608"/>
      <c r="C24" s="37">
        <v>0.76400000000000001</v>
      </c>
      <c r="D24" s="37">
        <v>0.92600000000000005</v>
      </c>
      <c r="E24" s="653"/>
      <c r="F24" s="655"/>
      <c r="G24" s="633"/>
      <c r="H24" s="14"/>
      <c r="I24" s="14"/>
      <c r="J24" s="14"/>
      <c r="K24" s="14"/>
      <c r="L24" s="14"/>
      <c r="M24" s="13"/>
      <c r="N24" s="13"/>
      <c r="O24" s="14"/>
      <c r="P24" s="14"/>
      <c r="Q24" s="49"/>
      <c r="R24" s="14">
        <v>70660010051</v>
      </c>
      <c r="S24" s="621"/>
      <c r="T24" s="633"/>
      <c r="U24" s="636"/>
    </row>
    <row r="25" spans="1:21" x14ac:dyDescent="0.3">
      <c r="A25" s="742"/>
      <c r="B25" s="608"/>
      <c r="C25" s="37">
        <v>0.94599999999999995</v>
      </c>
      <c r="D25" s="37">
        <v>1.2589999999999999</v>
      </c>
      <c r="E25" s="653"/>
      <c r="F25" s="655"/>
      <c r="G25" s="633"/>
      <c r="H25" s="14"/>
      <c r="I25" s="14"/>
      <c r="J25" s="14"/>
      <c r="K25" s="14"/>
      <c r="L25" s="14"/>
      <c r="M25" s="13"/>
      <c r="N25" s="13"/>
      <c r="O25" s="14"/>
      <c r="P25" s="14"/>
      <c r="Q25" s="49"/>
      <c r="R25" s="14">
        <v>70660010050</v>
      </c>
      <c r="S25" s="621"/>
      <c r="T25" s="633"/>
      <c r="U25" s="636"/>
    </row>
    <row r="26" spans="1:21" x14ac:dyDescent="0.3">
      <c r="A26" s="742"/>
      <c r="B26" s="608"/>
      <c r="C26" s="37">
        <v>1.2589999999999999</v>
      </c>
      <c r="D26" s="37">
        <v>2.3260000000000001</v>
      </c>
      <c r="E26" s="653"/>
      <c r="F26" s="655"/>
      <c r="G26" s="633"/>
      <c r="H26" s="14"/>
      <c r="I26" s="14"/>
      <c r="J26" s="14"/>
      <c r="K26" s="14"/>
      <c r="L26" s="14"/>
      <c r="M26" s="13"/>
      <c r="N26" s="13"/>
      <c r="O26" s="14"/>
      <c r="P26" s="14"/>
      <c r="Q26" s="49"/>
      <c r="R26" s="14">
        <v>70010011629</v>
      </c>
      <c r="S26" s="621"/>
      <c r="T26" s="633"/>
      <c r="U26" s="636"/>
    </row>
    <row r="27" spans="1:21" x14ac:dyDescent="0.3">
      <c r="A27" s="742"/>
      <c r="B27" s="608"/>
      <c r="C27" s="37">
        <v>2.3260000000000001</v>
      </c>
      <c r="D27" s="37">
        <v>3.8359999999999999</v>
      </c>
      <c r="E27" s="653"/>
      <c r="F27" s="655"/>
      <c r="G27" s="633"/>
      <c r="H27" s="14"/>
      <c r="I27" s="14"/>
      <c r="J27" s="14"/>
      <c r="K27" s="14"/>
      <c r="L27" s="14"/>
      <c r="M27" s="13"/>
      <c r="N27" s="13"/>
      <c r="O27" s="14"/>
      <c r="P27" s="14"/>
      <c r="Q27" s="49"/>
      <c r="R27" s="14">
        <v>70010011634</v>
      </c>
      <c r="S27" s="621"/>
      <c r="T27" s="633"/>
      <c r="U27" s="636"/>
    </row>
    <row r="28" spans="1:21" x14ac:dyDescent="0.3">
      <c r="A28" s="742"/>
      <c r="B28" s="608"/>
      <c r="C28" s="653">
        <v>3.8359999999999999</v>
      </c>
      <c r="D28" s="653">
        <v>4.2489999999999997</v>
      </c>
      <c r="E28" s="653"/>
      <c r="F28" s="655"/>
      <c r="G28" s="633"/>
      <c r="H28" s="14"/>
      <c r="I28" s="14"/>
      <c r="J28" s="14"/>
      <c r="K28" s="14"/>
      <c r="L28" s="14"/>
      <c r="M28" s="13"/>
      <c r="N28" s="13"/>
      <c r="O28" s="14"/>
      <c r="P28" s="14"/>
      <c r="Q28" s="49"/>
      <c r="R28" s="14">
        <v>70010011634</v>
      </c>
      <c r="S28" s="621"/>
      <c r="T28" s="633"/>
      <c r="U28" s="636"/>
    </row>
    <row r="29" spans="1:21" x14ac:dyDescent="0.3">
      <c r="A29" s="742"/>
      <c r="B29" s="608"/>
      <c r="C29" s="653"/>
      <c r="D29" s="653"/>
      <c r="E29" s="653"/>
      <c r="F29" s="655"/>
      <c r="G29" s="633"/>
      <c r="H29" s="14"/>
      <c r="I29" s="14"/>
      <c r="J29" s="14"/>
      <c r="K29" s="14"/>
      <c r="L29" s="14"/>
      <c r="M29" s="13"/>
      <c r="N29" s="13"/>
      <c r="O29" s="14"/>
      <c r="P29" s="14"/>
      <c r="Q29" s="49"/>
      <c r="R29" s="14" t="s">
        <v>2486</v>
      </c>
      <c r="S29" s="621"/>
      <c r="T29" s="633"/>
      <c r="U29" s="636"/>
    </row>
    <row r="30" spans="1:21" x14ac:dyDescent="0.3">
      <c r="A30" s="742"/>
      <c r="B30" s="608"/>
      <c r="C30" s="653">
        <v>4.2489999999999997</v>
      </c>
      <c r="D30" s="653">
        <v>6.2560000000000002</v>
      </c>
      <c r="E30" s="653"/>
      <c r="F30" s="655"/>
      <c r="G30" s="633"/>
      <c r="H30" s="14"/>
      <c r="I30" s="14"/>
      <c r="J30" s="14"/>
      <c r="K30" s="14"/>
      <c r="L30" s="14"/>
      <c r="M30" s="13"/>
      <c r="N30" s="13"/>
      <c r="O30" s="14"/>
      <c r="P30" s="14"/>
      <c r="Q30" s="49"/>
      <c r="R30" s="14" t="s">
        <v>2486</v>
      </c>
      <c r="S30" s="621"/>
      <c r="T30" s="633"/>
      <c r="U30" s="636"/>
    </row>
    <row r="31" spans="1:21" x14ac:dyDescent="0.3">
      <c r="A31" s="742"/>
      <c r="B31" s="608"/>
      <c r="C31" s="653"/>
      <c r="D31" s="653"/>
      <c r="E31" s="653"/>
      <c r="F31" s="655"/>
      <c r="G31" s="633"/>
      <c r="H31" s="14"/>
      <c r="I31" s="14"/>
      <c r="J31" s="14"/>
      <c r="K31" s="14"/>
      <c r="L31" s="14"/>
      <c r="M31" s="13"/>
      <c r="N31" s="13"/>
      <c r="O31" s="14"/>
      <c r="P31" s="14"/>
      <c r="Q31" s="49"/>
      <c r="R31" s="14">
        <v>70010011287</v>
      </c>
      <c r="S31" s="621"/>
      <c r="T31" s="633"/>
      <c r="U31" s="636"/>
    </row>
    <row r="32" spans="1:21" ht="15" thickBot="1" x14ac:dyDescent="0.35">
      <c r="A32" s="644"/>
      <c r="B32" s="609"/>
      <c r="C32" s="38">
        <v>6.2560000000000002</v>
      </c>
      <c r="D32" s="38">
        <v>6.4530000000000003</v>
      </c>
      <c r="E32" s="650"/>
      <c r="F32" s="20">
        <v>262</v>
      </c>
      <c r="G32" s="634"/>
      <c r="H32" s="20"/>
      <c r="I32" s="20"/>
      <c r="J32" s="20"/>
      <c r="K32" s="20"/>
      <c r="L32" s="20"/>
      <c r="M32" s="19"/>
      <c r="N32" s="19"/>
      <c r="O32" s="20"/>
      <c r="P32" s="20"/>
      <c r="Q32" s="47"/>
      <c r="R32" s="20">
        <v>70010011287</v>
      </c>
      <c r="S32" s="631"/>
      <c r="T32" s="634"/>
      <c r="U32" s="637"/>
    </row>
    <row r="33" spans="1:21" x14ac:dyDescent="0.3">
      <c r="A33" s="643" t="s">
        <v>2493</v>
      </c>
      <c r="B33" s="607" t="s">
        <v>399</v>
      </c>
      <c r="C33" s="36">
        <v>0</v>
      </c>
      <c r="D33" s="36">
        <v>1.373</v>
      </c>
      <c r="E33" s="649">
        <v>2.4580000000000002</v>
      </c>
      <c r="F33" s="647">
        <f>E33*7*1000*1.25</f>
        <v>21507.500000000004</v>
      </c>
      <c r="G33" s="641" t="s">
        <v>51</v>
      </c>
      <c r="H33" s="33"/>
      <c r="I33" s="33"/>
      <c r="J33" s="33"/>
      <c r="K33" s="33"/>
      <c r="L33" s="33"/>
      <c r="M33" s="34"/>
      <c r="N33" s="34"/>
      <c r="O33" s="33"/>
      <c r="P33" s="641">
        <v>10228</v>
      </c>
      <c r="Q33" s="647">
        <v>5114</v>
      </c>
      <c r="R33" s="33">
        <v>70010011289</v>
      </c>
      <c r="S33" s="640" t="s">
        <v>2484</v>
      </c>
      <c r="T33" s="641" t="s">
        <v>2485</v>
      </c>
      <c r="U33" s="642"/>
    </row>
    <row r="34" spans="1:21" ht="15" thickBot="1" x14ac:dyDescent="0.35">
      <c r="A34" s="644"/>
      <c r="B34" s="609"/>
      <c r="C34" s="38">
        <v>1.373</v>
      </c>
      <c r="D34" s="38">
        <v>2.4580000000000002</v>
      </c>
      <c r="E34" s="650"/>
      <c r="F34" s="648"/>
      <c r="G34" s="634"/>
      <c r="H34" s="20"/>
      <c r="I34" s="20"/>
      <c r="J34" s="20"/>
      <c r="K34" s="20"/>
      <c r="L34" s="20"/>
      <c r="M34" s="19"/>
      <c r="N34" s="19"/>
      <c r="O34" s="20"/>
      <c r="P34" s="634"/>
      <c r="Q34" s="648"/>
      <c r="R34" s="20">
        <v>70010011787</v>
      </c>
      <c r="S34" s="631"/>
      <c r="T34" s="634"/>
      <c r="U34" s="637"/>
    </row>
    <row r="35" spans="1:21" ht="36.6" thickBot="1" x14ac:dyDescent="0.35">
      <c r="A35" s="40" t="s">
        <v>2494</v>
      </c>
      <c r="B35" s="23" t="s">
        <v>2495</v>
      </c>
      <c r="C35" s="39">
        <v>0</v>
      </c>
      <c r="D35" s="39">
        <v>0.314</v>
      </c>
      <c r="E35" s="39">
        <f t="shared" ref="E35:E64" si="0">D35-C35</f>
        <v>0.314</v>
      </c>
      <c r="F35" s="3">
        <f>E35*6*1000*1.25</f>
        <v>2355</v>
      </c>
      <c r="G35" s="3" t="s">
        <v>51</v>
      </c>
      <c r="H35" s="27"/>
      <c r="I35" s="27"/>
      <c r="J35" s="27"/>
      <c r="K35" s="27"/>
      <c r="L35" s="27"/>
      <c r="M35" s="27"/>
      <c r="N35" s="27"/>
      <c r="O35" s="27"/>
      <c r="P35" s="3">
        <v>945</v>
      </c>
      <c r="Q35" s="4">
        <v>530</v>
      </c>
      <c r="R35" s="3">
        <v>70010011235</v>
      </c>
      <c r="S35" s="27" t="s">
        <v>2484</v>
      </c>
      <c r="T35" s="3" t="s">
        <v>2485</v>
      </c>
      <c r="U35" s="5"/>
    </row>
    <row r="36" spans="1:21" ht="36.6" thickBot="1" x14ac:dyDescent="0.35">
      <c r="A36" s="40" t="s">
        <v>2496</v>
      </c>
      <c r="B36" s="23" t="s">
        <v>2497</v>
      </c>
      <c r="C36" s="39">
        <v>0</v>
      </c>
      <c r="D36" s="39">
        <v>0.877</v>
      </c>
      <c r="E36" s="39">
        <v>0.877</v>
      </c>
      <c r="F36" s="4">
        <f>E36*1000*7*1.25</f>
        <v>7673.75</v>
      </c>
      <c r="G36" s="3" t="s">
        <v>51</v>
      </c>
      <c r="H36" s="27"/>
      <c r="I36" s="27"/>
      <c r="J36" s="27"/>
      <c r="K36" s="27"/>
      <c r="L36" s="27"/>
      <c r="M36" s="27"/>
      <c r="N36" s="27"/>
      <c r="O36" s="27"/>
      <c r="P36" s="3">
        <v>3477</v>
      </c>
      <c r="Q36" s="4">
        <v>1738.5</v>
      </c>
      <c r="R36" s="3">
        <v>70010011237</v>
      </c>
      <c r="S36" s="27" t="s">
        <v>2484</v>
      </c>
      <c r="T36" s="3" t="s">
        <v>2485</v>
      </c>
      <c r="U36" s="5"/>
    </row>
    <row r="37" spans="1:21" x14ac:dyDescent="0.3">
      <c r="A37" s="643" t="s">
        <v>2498</v>
      </c>
      <c r="B37" s="607" t="s">
        <v>2499</v>
      </c>
      <c r="C37" s="36">
        <v>0</v>
      </c>
      <c r="D37" s="36">
        <v>0.44600000000000001</v>
      </c>
      <c r="E37" s="649">
        <v>0.66200000000000003</v>
      </c>
      <c r="F37" s="641">
        <f>ROUND((E37*8.6*1000*1.25),0)</f>
        <v>7117</v>
      </c>
      <c r="G37" s="641" t="s">
        <v>51</v>
      </c>
      <c r="H37" s="34"/>
      <c r="I37" s="34"/>
      <c r="J37" s="34"/>
      <c r="K37" s="34"/>
      <c r="L37" s="34"/>
      <c r="M37" s="34"/>
      <c r="N37" s="34"/>
      <c r="O37" s="34"/>
      <c r="P37" s="641">
        <v>1576</v>
      </c>
      <c r="Q37" s="647">
        <v>875.55</v>
      </c>
      <c r="R37" s="33">
        <v>70010011238</v>
      </c>
      <c r="S37" s="640" t="s">
        <v>2484</v>
      </c>
      <c r="T37" s="641" t="s">
        <v>2485</v>
      </c>
      <c r="U37" s="642"/>
    </row>
    <row r="38" spans="1:21" ht="15" thickBot="1" x14ac:dyDescent="0.35">
      <c r="A38" s="644"/>
      <c r="B38" s="609"/>
      <c r="C38" s="38">
        <v>0.44600000000000001</v>
      </c>
      <c r="D38" s="38">
        <v>0.66200000000000003</v>
      </c>
      <c r="E38" s="650"/>
      <c r="F38" s="634"/>
      <c r="G38" s="634"/>
      <c r="H38" s="19"/>
      <c r="I38" s="19"/>
      <c r="J38" s="19"/>
      <c r="K38" s="19"/>
      <c r="L38" s="19"/>
      <c r="M38" s="19"/>
      <c r="N38" s="19"/>
      <c r="O38" s="19"/>
      <c r="P38" s="634"/>
      <c r="Q38" s="648"/>
      <c r="R38" s="20">
        <v>70010011652</v>
      </c>
      <c r="S38" s="631"/>
      <c r="T38" s="634"/>
      <c r="U38" s="637"/>
    </row>
    <row r="39" spans="1:21" x14ac:dyDescent="0.3">
      <c r="A39" s="643" t="s">
        <v>2500</v>
      </c>
      <c r="B39" s="607" t="s">
        <v>251</v>
      </c>
      <c r="C39" s="36">
        <v>0</v>
      </c>
      <c r="D39" s="36">
        <v>0.13300000000000001</v>
      </c>
      <c r="E39" s="649">
        <v>1.3939999999999999</v>
      </c>
      <c r="F39" s="641">
        <f>ROUND((E39*6.5*1000*1.25),0)</f>
        <v>11326</v>
      </c>
      <c r="G39" s="641" t="s">
        <v>51</v>
      </c>
      <c r="H39" s="34"/>
      <c r="I39" s="34"/>
      <c r="J39" s="34"/>
      <c r="K39" s="34"/>
      <c r="L39" s="34"/>
      <c r="M39" s="34"/>
      <c r="N39" s="34"/>
      <c r="O39" s="34"/>
      <c r="P39" s="641">
        <v>441</v>
      </c>
      <c r="Q39" s="647">
        <v>245</v>
      </c>
      <c r="R39" s="33">
        <v>70010011643</v>
      </c>
      <c r="S39" s="640" t="s">
        <v>2484</v>
      </c>
      <c r="T39" s="641" t="s">
        <v>2485</v>
      </c>
      <c r="U39" s="642"/>
    </row>
    <row r="40" spans="1:21" ht="15" thickBot="1" x14ac:dyDescent="0.35">
      <c r="A40" s="644"/>
      <c r="B40" s="609"/>
      <c r="C40" s="38">
        <v>0.13300000000000001</v>
      </c>
      <c r="D40" s="38">
        <v>1.3939999999999999</v>
      </c>
      <c r="E40" s="650"/>
      <c r="F40" s="634"/>
      <c r="G40" s="634"/>
      <c r="H40" s="19"/>
      <c r="I40" s="19"/>
      <c r="J40" s="19"/>
      <c r="K40" s="19"/>
      <c r="L40" s="19"/>
      <c r="M40" s="19"/>
      <c r="N40" s="19"/>
      <c r="O40" s="19"/>
      <c r="P40" s="634"/>
      <c r="Q40" s="648"/>
      <c r="R40" s="20">
        <v>70010011239</v>
      </c>
      <c r="S40" s="631"/>
      <c r="T40" s="634"/>
      <c r="U40" s="637"/>
    </row>
    <row r="41" spans="1:21" ht="36.6" thickBot="1" x14ac:dyDescent="0.35">
      <c r="A41" s="40" t="s">
        <v>2501</v>
      </c>
      <c r="B41" s="23" t="s">
        <v>42</v>
      </c>
      <c r="C41" s="39">
        <v>0</v>
      </c>
      <c r="D41" s="39">
        <v>0.55600000000000005</v>
      </c>
      <c r="E41" s="39">
        <v>0.55600000000000005</v>
      </c>
      <c r="F41" s="3">
        <f>ROUND((E41*6.6*1000*1.25),0)</f>
        <v>4587</v>
      </c>
      <c r="G41" s="3" t="s">
        <v>51</v>
      </c>
      <c r="H41" s="27"/>
      <c r="I41" s="27"/>
      <c r="J41" s="27"/>
      <c r="K41" s="27"/>
      <c r="L41" s="27"/>
      <c r="M41" s="27"/>
      <c r="N41" s="27"/>
      <c r="O41" s="27"/>
      <c r="P41" s="3"/>
      <c r="Q41" s="4"/>
      <c r="R41" s="3">
        <v>70010011242</v>
      </c>
      <c r="S41" s="27" t="s">
        <v>2484</v>
      </c>
      <c r="T41" s="3" t="s">
        <v>2485</v>
      </c>
      <c r="U41" s="5"/>
    </row>
    <row r="42" spans="1:21" x14ac:dyDescent="0.3">
      <c r="A42" s="643" t="s">
        <v>2502</v>
      </c>
      <c r="B42" s="607" t="s">
        <v>2503</v>
      </c>
      <c r="C42" s="36">
        <v>0</v>
      </c>
      <c r="D42" s="36">
        <v>0.14599999999999999</v>
      </c>
      <c r="E42" s="649">
        <v>1.92</v>
      </c>
      <c r="F42" s="641">
        <f>ROUND((E42*6.5*1000*1.25),0)</f>
        <v>15600</v>
      </c>
      <c r="G42" s="641" t="s">
        <v>51</v>
      </c>
      <c r="H42" s="34"/>
      <c r="I42" s="34"/>
      <c r="J42" s="34"/>
      <c r="K42" s="34"/>
      <c r="L42" s="34"/>
      <c r="M42" s="34"/>
      <c r="N42" s="34"/>
      <c r="O42" s="34"/>
      <c r="P42" s="33">
        <v>6568</v>
      </c>
      <c r="Q42" s="44">
        <v>3284</v>
      </c>
      <c r="R42" s="33">
        <v>70010011636</v>
      </c>
      <c r="S42" s="640" t="s">
        <v>2484</v>
      </c>
      <c r="T42" s="641" t="s">
        <v>2485</v>
      </c>
      <c r="U42" s="642"/>
    </row>
    <row r="43" spans="1:21" ht="15" thickBot="1" x14ac:dyDescent="0.35">
      <c r="A43" s="644"/>
      <c r="B43" s="609"/>
      <c r="C43" s="38">
        <v>0.14599999999999999</v>
      </c>
      <c r="D43" s="38">
        <v>1.92</v>
      </c>
      <c r="E43" s="650"/>
      <c r="F43" s="634"/>
      <c r="G43" s="634"/>
      <c r="H43" s="19"/>
      <c r="I43" s="19"/>
      <c r="J43" s="19"/>
      <c r="K43" s="19"/>
      <c r="L43" s="19"/>
      <c r="M43" s="19"/>
      <c r="N43" s="19"/>
      <c r="O43" s="19"/>
      <c r="P43" s="20"/>
      <c r="Q43" s="47"/>
      <c r="R43" s="20">
        <v>70010011244</v>
      </c>
      <c r="S43" s="631"/>
      <c r="T43" s="634"/>
      <c r="U43" s="637"/>
    </row>
    <row r="44" spans="1:21" x14ac:dyDescent="0.3">
      <c r="A44" s="643" t="s">
        <v>2504</v>
      </c>
      <c r="B44" s="607" t="s">
        <v>2411</v>
      </c>
      <c r="C44" s="36">
        <v>0</v>
      </c>
      <c r="D44" s="36">
        <v>2.1999999999999999E-2</v>
      </c>
      <c r="E44" s="649">
        <v>1.272</v>
      </c>
      <c r="F44" s="641">
        <f>ROUND((E44*8*1000*1.25),0)</f>
        <v>12720</v>
      </c>
      <c r="G44" s="641" t="s">
        <v>51</v>
      </c>
      <c r="H44" s="34"/>
      <c r="I44" s="34"/>
      <c r="J44" s="34"/>
      <c r="K44" s="34"/>
      <c r="L44" s="34"/>
      <c r="M44" s="34"/>
      <c r="N44" s="34"/>
      <c r="O44" s="34"/>
      <c r="P44" s="641">
        <v>1314</v>
      </c>
      <c r="Q44" s="647">
        <v>657</v>
      </c>
      <c r="R44" s="33">
        <v>70010011670</v>
      </c>
      <c r="S44" s="640" t="s">
        <v>2484</v>
      </c>
      <c r="T44" s="641" t="s">
        <v>2485</v>
      </c>
      <c r="U44" s="642"/>
    </row>
    <row r="45" spans="1:21" x14ac:dyDescent="0.3">
      <c r="A45" s="742"/>
      <c r="B45" s="608"/>
      <c r="C45" s="37">
        <v>2.1999999999999999E-2</v>
      </c>
      <c r="D45" s="37">
        <v>0.27700000000000002</v>
      </c>
      <c r="E45" s="653"/>
      <c r="F45" s="633"/>
      <c r="G45" s="633"/>
      <c r="H45" s="13"/>
      <c r="I45" s="13"/>
      <c r="J45" s="13"/>
      <c r="K45" s="13"/>
      <c r="L45" s="13"/>
      <c r="M45" s="13"/>
      <c r="N45" s="13"/>
      <c r="O45" s="13"/>
      <c r="P45" s="633"/>
      <c r="Q45" s="655"/>
      <c r="R45" s="14">
        <v>70010011943</v>
      </c>
      <c r="S45" s="621"/>
      <c r="T45" s="633"/>
      <c r="U45" s="636"/>
    </row>
    <row r="46" spans="1:21" x14ac:dyDescent="0.3">
      <c r="A46" s="742"/>
      <c r="B46" s="608"/>
      <c r="C46" s="37">
        <v>0.27700000000000002</v>
      </c>
      <c r="D46" s="37">
        <v>0.82099999999999995</v>
      </c>
      <c r="E46" s="653"/>
      <c r="F46" s="633"/>
      <c r="G46" s="633"/>
      <c r="H46" s="13"/>
      <c r="I46" s="13"/>
      <c r="J46" s="13"/>
      <c r="K46" s="13"/>
      <c r="L46" s="13"/>
      <c r="M46" s="13"/>
      <c r="N46" s="13"/>
      <c r="O46" s="13"/>
      <c r="P46" s="633"/>
      <c r="Q46" s="655"/>
      <c r="R46" s="14">
        <v>70010011953</v>
      </c>
      <c r="S46" s="621"/>
      <c r="T46" s="633"/>
      <c r="U46" s="636"/>
    </row>
    <row r="47" spans="1:21" ht="15" thickBot="1" x14ac:dyDescent="0.35">
      <c r="A47" s="644"/>
      <c r="B47" s="609"/>
      <c r="C47" s="38">
        <v>0.82099999999999995</v>
      </c>
      <c r="D47" s="38">
        <v>1.272</v>
      </c>
      <c r="E47" s="650"/>
      <c r="F47" s="634"/>
      <c r="G47" s="634"/>
      <c r="H47" s="19"/>
      <c r="I47" s="19"/>
      <c r="J47" s="19"/>
      <c r="K47" s="19"/>
      <c r="L47" s="19"/>
      <c r="M47" s="19"/>
      <c r="N47" s="19"/>
      <c r="O47" s="19"/>
      <c r="P47" s="634"/>
      <c r="Q47" s="648"/>
      <c r="R47" s="20">
        <v>70010011791</v>
      </c>
      <c r="S47" s="631"/>
      <c r="T47" s="634"/>
      <c r="U47" s="637"/>
    </row>
    <row r="48" spans="1:21" x14ac:dyDescent="0.3">
      <c r="A48" s="643" t="s">
        <v>2505</v>
      </c>
      <c r="B48" s="607" t="s">
        <v>1597</v>
      </c>
      <c r="C48" s="36">
        <v>0</v>
      </c>
      <c r="D48" s="36">
        <v>0.72399999999999998</v>
      </c>
      <c r="E48" s="649">
        <v>0.78500000000000003</v>
      </c>
      <c r="F48" s="641">
        <f>ROUND((E48*6*1000*1.15),0)</f>
        <v>5417</v>
      </c>
      <c r="G48" s="641" t="s">
        <v>51</v>
      </c>
      <c r="H48" s="34"/>
      <c r="I48" s="34"/>
      <c r="J48" s="34"/>
      <c r="K48" s="34"/>
      <c r="L48" s="34"/>
      <c r="M48" s="34"/>
      <c r="N48" s="34"/>
      <c r="O48" s="34"/>
      <c r="P48" s="33"/>
      <c r="Q48" s="44"/>
      <c r="R48" s="33">
        <v>70010011252</v>
      </c>
      <c r="S48" s="640" t="s">
        <v>2484</v>
      </c>
      <c r="T48" s="641" t="s">
        <v>2485</v>
      </c>
      <c r="U48" s="642"/>
    </row>
    <row r="49" spans="1:21" ht="15" thickBot="1" x14ac:dyDescent="0.35">
      <c r="A49" s="644"/>
      <c r="B49" s="609"/>
      <c r="C49" s="38">
        <v>0.72399999999999998</v>
      </c>
      <c r="D49" s="38">
        <v>0.78500000000000003</v>
      </c>
      <c r="E49" s="650"/>
      <c r="F49" s="634"/>
      <c r="G49" s="634"/>
      <c r="H49" s="19"/>
      <c r="I49" s="19"/>
      <c r="J49" s="19"/>
      <c r="K49" s="19"/>
      <c r="L49" s="19"/>
      <c r="M49" s="19"/>
      <c r="N49" s="19"/>
      <c r="O49" s="19"/>
      <c r="P49" s="20"/>
      <c r="Q49" s="47"/>
      <c r="R49" s="20">
        <v>70010011800</v>
      </c>
      <c r="S49" s="631"/>
      <c r="T49" s="634"/>
      <c r="U49" s="637"/>
    </row>
    <row r="50" spans="1:21" x14ac:dyDescent="0.3">
      <c r="A50" s="643" t="s">
        <v>2506</v>
      </c>
      <c r="B50" s="607" t="s">
        <v>2507</v>
      </c>
      <c r="C50" s="36">
        <v>0</v>
      </c>
      <c r="D50" s="36">
        <v>0.28699999999999998</v>
      </c>
      <c r="E50" s="649">
        <v>1.5720000000000001</v>
      </c>
      <c r="F50" s="641">
        <f>ROUND((D51*7.5*1000*1.15),0)</f>
        <v>4744</v>
      </c>
      <c r="G50" s="641" t="s">
        <v>51</v>
      </c>
      <c r="H50" s="34"/>
      <c r="I50" s="34"/>
      <c r="J50" s="34"/>
      <c r="K50" s="34"/>
      <c r="L50" s="34"/>
      <c r="M50" s="34"/>
      <c r="N50" s="34"/>
      <c r="O50" s="34"/>
      <c r="P50" s="641">
        <v>1539</v>
      </c>
      <c r="Q50" s="647">
        <v>502</v>
      </c>
      <c r="R50" s="33">
        <v>70010011256</v>
      </c>
      <c r="S50" s="640" t="s">
        <v>2484</v>
      </c>
      <c r="T50" s="641" t="s">
        <v>2485</v>
      </c>
      <c r="U50" s="642"/>
    </row>
    <row r="51" spans="1:21" x14ac:dyDescent="0.3">
      <c r="A51" s="742"/>
      <c r="B51" s="608"/>
      <c r="C51" s="37">
        <v>0.28699999999999998</v>
      </c>
      <c r="D51" s="37">
        <v>0.55000000000000004</v>
      </c>
      <c r="E51" s="653"/>
      <c r="F51" s="633"/>
      <c r="G51" s="633"/>
      <c r="H51" s="13"/>
      <c r="I51" s="13"/>
      <c r="J51" s="13"/>
      <c r="K51" s="13"/>
      <c r="L51" s="13"/>
      <c r="M51" s="13"/>
      <c r="N51" s="13"/>
      <c r="O51" s="13"/>
      <c r="P51" s="633"/>
      <c r="Q51" s="655"/>
      <c r="R51" s="633">
        <v>70010011651</v>
      </c>
      <c r="S51" s="621"/>
      <c r="T51" s="633"/>
      <c r="U51" s="636"/>
    </row>
    <row r="52" spans="1:21" x14ac:dyDescent="0.3">
      <c r="A52" s="742"/>
      <c r="B52" s="608"/>
      <c r="C52" s="37">
        <v>0.55000000000000004</v>
      </c>
      <c r="D52" s="37">
        <v>0.60299999999999998</v>
      </c>
      <c r="E52" s="653"/>
      <c r="F52" s="14">
        <v>367</v>
      </c>
      <c r="G52" s="633"/>
      <c r="H52" s="13"/>
      <c r="I52" s="13"/>
      <c r="J52" s="13"/>
      <c r="K52" s="13"/>
      <c r="L52" s="13"/>
      <c r="M52" s="13"/>
      <c r="N52" s="13"/>
      <c r="O52" s="13"/>
      <c r="P52" s="633"/>
      <c r="Q52" s="655"/>
      <c r="R52" s="633"/>
      <c r="S52" s="621"/>
      <c r="T52" s="633"/>
      <c r="U52" s="636"/>
    </row>
    <row r="53" spans="1:21" x14ac:dyDescent="0.3">
      <c r="A53" s="742"/>
      <c r="B53" s="608"/>
      <c r="C53" s="37">
        <v>0.60299999999999998</v>
      </c>
      <c r="D53" s="37">
        <v>0.80900000000000005</v>
      </c>
      <c r="E53" s="653"/>
      <c r="F53" s="633">
        <f>ROUND(((D54-C53)*7.8*1000*1.15),0)</f>
        <v>8692</v>
      </c>
      <c r="G53" s="633"/>
      <c r="H53" s="13"/>
      <c r="I53" s="13"/>
      <c r="J53" s="13"/>
      <c r="K53" s="13"/>
      <c r="L53" s="13"/>
      <c r="M53" s="13"/>
      <c r="N53" s="13"/>
      <c r="O53" s="13"/>
      <c r="P53" s="633"/>
      <c r="Q53" s="655"/>
      <c r="R53" s="633"/>
      <c r="S53" s="621"/>
      <c r="T53" s="633"/>
      <c r="U53" s="636"/>
    </row>
    <row r="54" spans="1:21" ht="15" thickBot="1" x14ac:dyDescent="0.35">
      <c r="A54" s="644"/>
      <c r="B54" s="609"/>
      <c r="C54" s="38">
        <v>0.80900000000000005</v>
      </c>
      <c r="D54" s="38">
        <v>1.5720000000000001</v>
      </c>
      <c r="E54" s="650"/>
      <c r="F54" s="634"/>
      <c r="G54" s="634"/>
      <c r="H54" s="19"/>
      <c r="I54" s="19"/>
      <c r="J54" s="19"/>
      <c r="K54" s="19"/>
      <c r="L54" s="19"/>
      <c r="M54" s="19"/>
      <c r="N54" s="19"/>
      <c r="O54" s="19"/>
      <c r="P54" s="634"/>
      <c r="Q54" s="648"/>
      <c r="R54" s="20">
        <v>70010011751</v>
      </c>
      <c r="S54" s="631"/>
      <c r="T54" s="634"/>
      <c r="U54" s="637"/>
    </row>
    <row r="55" spans="1:21" x14ac:dyDescent="0.3">
      <c r="A55" s="643" t="s">
        <v>2508</v>
      </c>
      <c r="B55" s="607" t="s">
        <v>2509</v>
      </c>
      <c r="C55" s="36">
        <v>0</v>
      </c>
      <c r="D55" s="36">
        <v>0.441</v>
      </c>
      <c r="E55" s="649">
        <v>1.756</v>
      </c>
      <c r="F55" s="641">
        <f>ROUND((D56*6.5*1000),0)</f>
        <v>4758</v>
      </c>
      <c r="G55" s="641" t="s">
        <v>51</v>
      </c>
      <c r="H55" s="34"/>
      <c r="I55" s="34"/>
      <c r="J55" s="34"/>
      <c r="K55" s="34"/>
      <c r="L55" s="34"/>
      <c r="M55" s="34"/>
      <c r="N55" s="34"/>
      <c r="O55" s="34"/>
      <c r="P55" s="641">
        <v>1922</v>
      </c>
      <c r="Q55" s="647">
        <v>1067.77</v>
      </c>
      <c r="R55" s="33">
        <v>70010011260</v>
      </c>
      <c r="S55" s="640" t="s">
        <v>2484</v>
      </c>
      <c r="T55" s="641" t="s">
        <v>2485</v>
      </c>
      <c r="U55" s="642"/>
    </row>
    <row r="56" spans="1:21" x14ac:dyDescent="0.3">
      <c r="A56" s="742"/>
      <c r="B56" s="608"/>
      <c r="C56" s="37">
        <v>0.441</v>
      </c>
      <c r="D56" s="37">
        <v>0.73199999999999998</v>
      </c>
      <c r="E56" s="653"/>
      <c r="F56" s="633"/>
      <c r="G56" s="633"/>
      <c r="H56" s="13"/>
      <c r="I56" s="13"/>
      <c r="J56" s="13"/>
      <c r="K56" s="13"/>
      <c r="L56" s="13"/>
      <c r="M56" s="13"/>
      <c r="N56" s="13"/>
      <c r="O56" s="13"/>
      <c r="P56" s="633"/>
      <c r="Q56" s="655"/>
      <c r="R56" s="14">
        <v>70010011750</v>
      </c>
      <c r="S56" s="621"/>
      <c r="T56" s="633"/>
      <c r="U56" s="636"/>
    </row>
    <row r="57" spans="1:21" x14ac:dyDescent="0.3">
      <c r="A57" s="742"/>
      <c r="B57" s="608"/>
      <c r="C57" s="37">
        <v>0.73199999999999998</v>
      </c>
      <c r="D57" s="37">
        <v>0.88200000000000001</v>
      </c>
      <c r="E57" s="653"/>
      <c r="F57" s="14">
        <v>1214</v>
      </c>
      <c r="G57" s="633"/>
      <c r="H57" s="13"/>
      <c r="I57" s="13"/>
      <c r="J57" s="13"/>
      <c r="K57" s="13"/>
      <c r="L57" s="13"/>
      <c r="M57" s="13"/>
      <c r="N57" s="13"/>
      <c r="O57" s="13"/>
      <c r="P57" s="633"/>
      <c r="Q57" s="655"/>
      <c r="R57" s="655">
        <v>70010011747001</v>
      </c>
      <c r="S57" s="621"/>
      <c r="T57" s="633"/>
      <c r="U57" s="636"/>
    </row>
    <row r="58" spans="1:21" ht="15" thickBot="1" x14ac:dyDescent="0.35">
      <c r="A58" s="644"/>
      <c r="B58" s="609"/>
      <c r="C58" s="38">
        <v>0.88200000000000001</v>
      </c>
      <c r="D58" s="38">
        <v>1.756</v>
      </c>
      <c r="E58" s="650"/>
      <c r="F58" s="20">
        <v>7106</v>
      </c>
      <c r="G58" s="20" t="s">
        <v>32</v>
      </c>
      <c r="H58" s="19"/>
      <c r="I58" s="19"/>
      <c r="J58" s="19"/>
      <c r="K58" s="19"/>
      <c r="L58" s="19"/>
      <c r="M58" s="19"/>
      <c r="N58" s="19"/>
      <c r="O58" s="19"/>
      <c r="P58" s="634"/>
      <c r="Q58" s="648"/>
      <c r="R58" s="648"/>
      <c r="S58" s="631"/>
      <c r="T58" s="634"/>
      <c r="U58" s="637"/>
    </row>
    <row r="59" spans="1:21" ht="36.6" thickBot="1" x14ac:dyDescent="0.35">
      <c r="A59" s="40" t="s">
        <v>2510</v>
      </c>
      <c r="B59" s="23" t="s">
        <v>2511</v>
      </c>
      <c r="C59" s="39">
        <v>0</v>
      </c>
      <c r="D59" s="39">
        <v>0.24199999999999999</v>
      </c>
      <c r="E59" s="39">
        <v>0.24199999999999999</v>
      </c>
      <c r="F59" s="3">
        <f>ROUND((E59*6.5*1000*1.15),0)</f>
        <v>1809</v>
      </c>
      <c r="G59" s="3" t="s">
        <v>51</v>
      </c>
      <c r="H59" s="27"/>
      <c r="I59" s="27"/>
      <c r="J59" s="27"/>
      <c r="K59" s="27"/>
      <c r="L59" s="27"/>
      <c r="M59" s="27"/>
      <c r="N59" s="27"/>
      <c r="O59" s="27"/>
      <c r="P59" s="3">
        <v>942</v>
      </c>
      <c r="Q59" s="4">
        <v>524</v>
      </c>
      <c r="R59" s="3">
        <v>70010011285</v>
      </c>
      <c r="S59" s="27" t="s">
        <v>2484</v>
      </c>
      <c r="T59" s="3" t="s">
        <v>2485</v>
      </c>
      <c r="U59" s="5"/>
    </row>
    <row r="60" spans="1:21" x14ac:dyDescent="0.3">
      <c r="A60" s="643" t="s">
        <v>2512</v>
      </c>
      <c r="B60" s="607" t="s">
        <v>2513</v>
      </c>
      <c r="C60" s="36">
        <v>0</v>
      </c>
      <c r="D60" s="36">
        <v>0.32100000000000001</v>
      </c>
      <c r="E60" s="649">
        <v>0.44700000000000001</v>
      </c>
      <c r="F60" s="641">
        <f>ROUND((D61*6.2*1000*1.25),0)</f>
        <v>3325</v>
      </c>
      <c r="G60" s="641" t="s">
        <v>51</v>
      </c>
      <c r="H60" s="34"/>
      <c r="I60" s="34"/>
      <c r="J60" s="34"/>
      <c r="K60" s="34"/>
      <c r="L60" s="34"/>
      <c r="M60" s="34"/>
      <c r="N60" s="34"/>
      <c r="O60" s="34"/>
      <c r="P60" s="33"/>
      <c r="Q60" s="44"/>
      <c r="R60" s="33">
        <v>70010011267</v>
      </c>
      <c r="S60" s="640" t="s">
        <v>2484</v>
      </c>
      <c r="T60" s="641" t="s">
        <v>2485</v>
      </c>
      <c r="U60" s="642"/>
    </row>
    <row r="61" spans="1:21" x14ac:dyDescent="0.3">
      <c r="A61" s="742"/>
      <c r="B61" s="608"/>
      <c r="C61" s="37">
        <v>0.32100000000000001</v>
      </c>
      <c r="D61" s="37">
        <v>0.42899999999999999</v>
      </c>
      <c r="E61" s="653"/>
      <c r="F61" s="633"/>
      <c r="G61" s="633"/>
      <c r="H61" s="13"/>
      <c r="I61" s="13"/>
      <c r="J61" s="13"/>
      <c r="K61" s="13"/>
      <c r="L61" s="13"/>
      <c r="M61" s="13"/>
      <c r="N61" s="13"/>
      <c r="O61" s="13"/>
      <c r="P61" s="14"/>
      <c r="Q61" s="49"/>
      <c r="R61" s="633">
        <v>70010011646</v>
      </c>
      <c r="S61" s="621"/>
      <c r="T61" s="633"/>
      <c r="U61" s="636"/>
    </row>
    <row r="62" spans="1:21" ht="15" thickBot="1" x14ac:dyDescent="0.35">
      <c r="A62" s="644"/>
      <c r="B62" s="609"/>
      <c r="C62" s="38">
        <v>0.42899999999999999</v>
      </c>
      <c r="D62" s="38">
        <v>0.44700000000000001</v>
      </c>
      <c r="E62" s="650"/>
      <c r="F62" s="20">
        <f>ROUND(((D62-C62)*5*1000*1.15),0)</f>
        <v>104</v>
      </c>
      <c r="G62" s="20" t="s">
        <v>32</v>
      </c>
      <c r="H62" s="19"/>
      <c r="I62" s="19"/>
      <c r="J62" s="19"/>
      <c r="K62" s="19"/>
      <c r="L62" s="19"/>
      <c r="M62" s="19"/>
      <c r="N62" s="19"/>
      <c r="O62" s="19"/>
      <c r="P62" s="20"/>
      <c r="Q62" s="47"/>
      <c r="R62" s="634"/>
      <c r="S62" s="631"/>
      <c r="T62" s="634"/>
      <c r="U62" s="637"/>
    </row>
    <row r="63" spans="1:21" ht="36.6" thickBot="1" x14ac:dyDescent="0.35">
      <c r="A63" s="40" t="s">
        <v>2514</v>
      </c>
      <c r="B63" s="23" t="s">
        <v>1126</v>
      </c>
      <c r="C63" s="39">
        <v>0</v>
      </c>
      <c r="D63" s="39">
        <v>0.15</v>
      </c>
      <c r="E63" s="39">
        <f t="shared" si="0"/>
        <v>0.15</v>
      </c>
      <c r="F63" s="3">
        <f>ROUND((E63*7.6*1000*1.2),0)</f>
        <v>1368</v>
      </c>
      <c r="G63" s="3" t="s">
        <v>51</v>
      </c>
      <c r="H63" s="27"/>
      <c r="I63" s="27"/>
      <c r="J63" s="27"/>
      <c r="K63" s="27"/>
      <c r="L63" s="27"/>
      <c r="M63" s="27"/>
      <c r="N63" s="27"/>
      <c r="O63" s="27"/>
      <c r="P63" s="3"/>
      <c r="Q63" s="4"/>
      <c r="R63" s="3">
        <v>70010011268</v>
      </c>
      <c r="S63" s="27" t="s">
        <v>2484</v>
      </c>
      <c r="T63" s="3" t="s">
        <v>2485</v>
      </c>
      <c r="U63" s="5"/>
    </row>
    <row r="64" spans="1:21" ht="36.6" thickBot="1" x14ac:dyDescent="0.35">
      <c r="A64" s="40" t="s">
        <v>2515</v>
      </c>
      <c r="B64" s="23" t="s">
        <v>2516</v>
      </c>
      <c r="C64" s="39">
        <v>0</v>
      </c>
      <c r="D64" s="39">
        <v>0.23499999999999999</v>
      </c>
      <c r="E64" s="39">
        <f t="shared" si="0"/>
        <v>0.23499999999999999</v>
      </c>
      <c r="F64" s="3">
        <f>ROUND((E64*10*1000*1.2),0)</f>
        <v>2820</v>
      </c>
      <c r="G64" s="3" t="s">
        <v>51</v>
      </c>
      <c r="H64" s="27"/>
      <c r="I64" s="27"/>
      <c r="J64" s="27"/>
      <c r="K64" s="27"/>
      <c r="L64" s="27"/>
      <c r="M64" s="27"/>
      <c r="N64" s="27"/>
      <c r="O64" s="27"/>
      <c r="P64" s="3">
        <v>248</v>
      </c>
      <c r="Q64" s="4">
        <v>138</v>
      </c>
      <c r="R64" s="3">
        <v>70010011276</v>
      </c>
      <c r="S64" s="27" t="s">
        <v>2484</v>
      </c>
      <c r="T64" s="3" t="s">
        <v>2485</v>
      </c>
      <c r="U64" s="5"/>
    </row>
    <row r="65" spans="1:21" ht="36.6" thickBot="1" x14ac:dyDescent="0.35">
      <c r="A65" s="40" t="s">
        <v>2517</v>
      </c>
      <c r="B65" s="23" t="s">
        <v>2518</v>
      </c>
      <c r="C65" s="39">
        <v>0</v>
      </c>
      <c r="D65" s="39">
        <v>0.13100000000000001</v>
      </c>
      <c r="E65" s="39">
        <f>D65-C65</f>
        <v>0.13100000000000001</v>
      </c>
      <c r="F65" s="3">
        <f>ROUND((E65*13*1000),0)</f>
        <v>1703</v>
      </c>
      <c r="G65" s="3" t="s">
        <v>51</v>
      </c>
      <c r="H65" s="27"/>
      <c r="I65" s="27"/>
      <c r="J65" s="27"/>
      <c r="K65" s="27"/>
      <c r="L65" s="27"/>
      <c r="M65" s="27"/>
      <c r="N65" s="27"/>
      <c r="O65" s="27"/>
      <c r="P65" s="3">
        <v>494</v>
      </c>
      <c r="Q65" s="4">
        <v>247</v>
      </c>
      <c r="R65" s="3">
        <v>70010011280</v>
      </c>
      <c r="S65" s="27" t="s">
        <v>2484</v>
      </c>
      <c r="T65" s="3" t="s">
        <v>2485</v>
      </c>
      <c r="U65" s="5"/>
    </row>
    <row r="66" spans="1:21" x14ac:dyDescent="0.3">
      <c r="A66" s="643" t="s">
        <v>2519</v>
      </c>
      <c r="B66" s="607" t="s">
        <v>2520</v>
      </c>
      <c r="C66" s="36">
        <v>0</v>
      </c>
      <c r="D66" s="36">
        <v>0.111</v>
      </c>
      <c r="E66" s="649">
        <v>0.13400000000000001</v>
      </c>
      <c r="F66" s="641">
        <f>ROUND((E66*10*1000*1.15),0)</f>
        <v>1541</v>
      </c>
      <c r="G66" s="641" t="s">
        <v>51</v>
      </c>
      <c r="H66" s="34"/>
      <c r="I66" s="34"/>
      <c r="J66" s="34"/>
      <c r="K66" s="34"/>
      <c r="L66" s="34"/>
      <c r="M66" s="34"/>
      <c r="N66" s="34"/>
      <c r="O66" s="34"/>
      <c r="P66" s="641">
        <v>444</v>
      </c>
      <c r="Q66" s="647">
        <v>185</v>
      </c>
      <c r="R66" s="641">
        <v>70010011513</v>
      </c>
      <c r="S66" s="640" t="s">
        <v>2484</v>
      </c>
      <c r="T66" s="641" t="s">
        <v>2485</v>
      </c>
      <c r="U66" s="642"/>
    </row>
    <row r="67" spans="1:21" ht="15" thickBot="1" x14ac:dyDescent="0.35">
      <c r="A67" s="644"/>
      <c r="B67" s="609"/>
      <c r="C67" s="38">
        <v>0.111</v>
      </c>
      <c r="D67" s="38">
        <v>0.13400000000000001</v>
      </c>
      <c r="E67" s="650"/>
      <c r="F67" s="634"/>
      <c r="G67" s="634"/>
      <c r="H67" s="19"/>
      <c r="I67" s="19"/>
      <c r="J67" s="19"/>
      <c r="K67" s="19"/>
      <c r="L67" s="19"/>
      <c r="M67" s="19"/>
      <c r="N67" s="19"/>
      <c r="O67" s="19"/>
      <c r="P67" s="634"/>
      <c r="Q67" s="648"/>
      <c r="R67" s="634"/>
      <c r="S67" s="631"/>
      <c r="T67" s="634"/>
      <c r="U67" s="637"/>
    </row>
    <row r="68" spans="1:21" ht="36.6" thickBot="1" x14ac:dyDescent="0.35">
      <c r="A68" s="40" t="s">
        <v>2521</v>
      </c>
      <c r="B68" s="23" t="s">
        <v>36</v>
      </c>
      <c r="C68" s="39">
        <v>0</v>
      </c>
      <c r="D68" s="39">
        <v>1.173</v>
      </c>
      <c r="E68" s="39">
        <f t="shared" ref="E68:E122" si="1">D68-C68</f>
        <v>1.173</v>
      </c>
      <c r="F68" s="3">
        <f>ROUND((E68*6.3*1000*1.25),0)</f>
        <v>9237</v>
      </c>
      <c r="G68" s="3" t="s">
        <v>51</v>
      </c>
      <c r="H68" s="27"/>
      <c r="I68" s="27"/>
      <c r="J68" s="27"/>
      <c r="K68" s="27"/>
      <c r="L68" s="27"/>
      <c r="M68" s="27"/>
      <c r="N68" s="27"/>
      <c r="O68" s="27"/>
      <c r="P68" s="3">
        <v>4513</v>
      </c>
      <c r="Q68" s="4">
        <v>2256.5</v>
      </c>
      <c r="R68" s="3">
        <v>70010011292</v>
      </c>
      <c r="S68" s="27" t="s">
        <v>2484</v>
      </c>
      <c r="T68" s="3" t="s">
        <v>2485</v>
      </c>
      <c r="U68" s="5"/>
    </row>
    <row r="69" spans="1:21" ht="36.6" thickBot="1" x14ac:dyDescent="0.35">
      <c r="A69" s="40" t="s">
        <v>2522</v>
      </c>
      <c r="B69" s="23" t="s">
        <v>2523</v>
      </c>
      <c r="C69" s="39">
        <v>0</v>
      </c>
      <c r="D69" s="39">
        <v>0.52300000000000002</v>
      </c>
      <c r="E69" s="39">
        <f t="shared" si="1"/>
        <v>0.52300000000000002</v>
      </c>
      <c r="F69" s="3">
        <f>ROUND((E69*7*1000*1.15),0)</f>
        <v>4210</v>
      </c>
      <c r="G69" s="3" t="s">
        <v>51</v>
      </c>
      <c r="H69" s="27"/>
      <c r="I69" s="27"/>
      <c r="J69" s="27"/>
      <c r="K69" s="27"/>
      <c r="L69" s="27"/>
      <c r="M69" s="27"/>
      <c r="N69" s="27"/>
      <c r="O69" s="27"/>
      <c r="P69" s="3">
        <v>200</v>
      </c>
      <c r="Q69" s="4">
        <v>100</v>
      </c>
      <c r="R69" s="3">
        <v>70010011641</v>
      </c>
      <c r="S69" s="27" t="s">
        <v>2484</v>
      </c>
      <c r="T69" s="3" t="s">
        <v>2485</v>
      </c>
      <c r="U69" s="5"/>
    </row>
    <row r="70" spans="1:21" ht="36.6" thickBot="1" x14ac:dyDescent="0.35">
      <c r="A70" s="40" t="s">
        <v>2524</v>
      </c>
      <c r="B70" s="23" t="s">
        <v>2525</v>
      </c>
      <c r="C70" s="39">
        <v>0</v>
      </c>
      <c r="D70" s="39">
        <v>0.111</v>
      </c>
      <c r="E70" s="39">
        <f t="shared" si="1"/>
        <v>0.111</v>
      </c>
      <c r="F70" s="3">
        <f>ROUND((E70*8*1000*1.2),0)</f>
        <v>1066</v>
      </c>
      <c r="G70" s="3" t="s">
        <v>51</v>
      </c>
      <c r="H70" s="27"/>
      <c r="I70" s="27"/>
      <c r="J70" s="27"/>
      <c r="K70" s="27"/>
      <c r="L70" s="27"/>
      <c r="M70" s="27"/>
      <c r="N70" s="27"/>
      <c r="O70" s="27"/>
      <c r="P70" s="3">
        <v>713</v>
      </c>
      <c r="Q70" s="4">
        <v>356.5</v>
      </c>
      <c r="R70" s="3">
        <v>70010011296</v>
      </c>
      <c r="S70" s="27" t="s">
        <v>2484</v>
      </c>
      <c r="T70" s="3" t="s">
        <v>2485</v>
      </c>
      <c r="U70" s="5"/>
    </row>
    <row r="71" spans="1:21" x14ac:dyDescent="0.3">
      <c r="A71" s="643" t="s">
        <v>2526</v>
      </c>
      <c r="B71" s="607" t="s">
        <v>2527</v>
      </c>
      <c r="C71" s="36">
        <v>0</v>
      </c>
      <c r="D71" s="36">
        <v>0.42099999999999999</v>
      </c>
      <c r="E71" s="649">
        <v>0.77</v>
      </c>
      <c r="F71" s="641">
        <f>ROUND((E71*6.6*1000*1.25),0)</f>
        <v>6353</v>
      </c>
      <c r="G71" s="641" t="s">
        <v>51</v>
      </c>
      <c r="H71" s="34"/>
      <c r="I71" s="34"/>
      <c r="J71" s="34"/>
      <c r="K71" s="34"/>
      <c r="L71" s="34"/>
      <c r="M71" s="34"/>
      <c r="N71" s="34"/>
      <c r="O71" s="34"/>
      <c r="P71" s="641">
        <v>2336</v>
      </c>
      <c r="Q71" s="44">
        <v>1062</v>
      </c>
      <c r="R71" s="33">
        <v>70010011262</v>
      </c>
      <c r="S71" s="640" t="s">
        <v>2484</v>
      </c>
      <c r="T71" s="641" t="s">
        <v>2485</v>
      </c>
      <c r="U71" s="642"/>
    </row>
    <row r="72" spans="1:21" x14ac:dyDescent="0.3">
      <c r="A72" s="742"/>
      <c r="B72" s="608"/>
      <c r="C72" s="37">
        <v>0.42099999999999999</v>
      </c>
      <c r="D72" s="37">
        <v>0.65300000000000002</v>
      </c>
      <c r="E72" s="653"/>
      <c r="F72" s="633"/>
      <c r="G72" s="633"/>
      <c r="H72" s="13"/>
      <c r="I72" s="13"/>
      <c r="J72" s="13"/>
      <c r="K72" s="13"/>
      <c r="L72" s="13"/>
      <c r="M72" s="13"/>
      <c r="N72" s="13"/>
      <c r="O72" s="13"/>
      <c r="P72" s="633"/>
      <c r="Q72" s="49"/>
      <c r="R72" s="14">
        <v>70010011654</v>
      </c>
      <c r="S72" s="621"/>
      <c r="T72" s="633"/>
      <c r="U72" s="636"/>
    </row>
    <row r="73" spans="1:21" ht="15" thickBot="1" x14ac:dyDescent="0.35">
      <c r="A73" s="644"/>
      <c r="B73" s="609"/>
      <c r="C73" s="38">
        <v>0.65300000000000002</v>
      </c>
      <c r="D73" s="38">
        <v>0.77</v>
      </c>
      <c r="E73" s="650"/>
      <c r="F73" s="634"/>
      <c r="G73" s="634"/>
      <c r="H73" s="19"/>
      <c r="I73" s="19"/>
      <c r="J73" s="19"/>
      <c r="K73" s="19"/>
      <c r="L73" s="19"/>
      <c r="M73" s="19"/>
      <c r="N73" s="19"/>
      <c r="O73" s="19"/>
      <c r="P73" s="634"/>
      <c r="Q73" s="47"/>
      <c r="R73" s="20">
        <v>70010011654</v>
      </c>
      <c r="S73" s="631"/>
      <c r="T73" s="634"/>
      <c r="U73" s="637"/>
    </row>
    <row r="74" spans="1:21" ht="36.6" thickBot="1" x14ac:dyDescent="0.35">
      <c r="A74" s="40" t="s">
        <v>2528</v>
      </c>
      <c r="B74" s="23" t="s">
        <v>2529</v>
      </c>
      <c r="C74" s="39">
        <v>0</v>
      </c>
      <c r="D74" s="39">
        <v>0.51100000000000001</v>
      </c>
      <c r="E74" s="39">
        <v>0.51100000000000001</v>
      </c>
      <c r="F74" s="3">
        <f>ROUND((E74*9*1000*1.25),0)</f>
        <v>5749</v>
      </c>
      <c r="G74" s="3" t="s">
        <v>51</v>
      </c>
      <c r="H74" s="27"/>
      <c r="I74" s="27"/>
      <c r="J74" s="27"/>
      <c r="K74" s="27"/>
      <c r="L74" s="27"/>
      <c r="M74" s="27"/>
      <c r="N74" s="27"/>
      <c r="O74" s="27"/>
      <c r="P74" s="3">
        <v>2088</v>
      </c>
      <c r="Q74" s="4">
        <v>1044</v>
      </c>
      <c r="R74" s="3">
        <v>70010011298</v>
      </c>
      <c r="S74" s="27" t="s">
        <v>2484</v>
      </c>
      <c r="T74" s="3" t="s">
        <v>2485</v>
      </c>
      <c r="U74" s="5"/>
    </row>
    <row r="75" spans="1:21" ht="15" customHeight="1" x14ac:dyDescent="0.3">
      <c r="A75" s="643" t="s">
        <v>2530</v>
      </c>
      <c r="B75" s="607" t="s">
        <v>950</v>
      </c>
      <c r="C75" s="36">
        <v>0</v>
      </c>
      <c r="D75" s="36">
        <v>0.41099999999999998</v>
      </c>
      <c r="E75" s="649">
        <f>D78</f>
        <v>0.53700000000000003</v>
      </c>
      <c r="F75" s="641">
        <v>4425</v>
      </c>
      <c r="G75" s="641" t="s">
        <v>51</v>
      </c>
      <c r="H75" s="34"/>
      <c r="I75" s="34"/>
      <c r="J75" s="34"/>
      <c r="K75" s="34"/>
      <c r="L75" s="34"/>
      <c r="M75" s="34"/>
      <c r="N75" s="34"/>
      <c r="O75" s="34"/>
      <c r="P75" s="33">
        <v>1373</v>
      </c>
      <c r="Q75" s="44">
        <v>624</v>
      </c>
      <c r="R75" s="33">
        <v>70010011299</v>
      </c>
      <c r="S75" s="640" t="s">
        <v>2484</v>
      </c>
      <c r="T75" s="641" t="s">
        <v>2485</v>
      </c>
      <c r="U75" s="642" t="s">
        <v>67</v>
      </c>
    </row>
    <row r="76" spans="1:21" x14ac:dyDescent="0.3">
      <c r="A76" s="742"/>
      <c r="B76" s="608"/>
      <c r="C76" s="37">
        <f>D75</f>
        <v>0.41099999999999998</v>
      </c>
      <c r="D76" s="37">
        <f>C76+0.049</f>
        <v>0.45999999999999996</v>
      </c>
      <c r="E76" s="653"/>
      <c r="F76" s="633"/>
      <c r="G76" s="633"/>
      <c r="H76" s="13"/>
      <c r="I76" s="13"/>
      <c r="J76" s="13"/>
      <c r="K76" s="13"/>
      <c r="L76" s="13"/>
      <c r="M76" s="13"/>
      <c r="N76" s="13"/>
      <c r="O76" s="13"/>
      <c r="P76" s="14"/>
      <c r="Q76" s="49"/>
      <c r="R76" s="14" t="s">
        <v>2531</v>
      </c>
      <c r="S76" s="621"/>
      <c r="T76" s="633"/>
      <c r="U76" s="636"/>
    </row>
    <row r="77" spans="1:21" x14ac:dyDescent="0.3">
      <c r="A77" s="742"/>
      <c r="B77" s="608"/>
      <c r="C77" s="37">
        <f>D76</f>
        <v>0.45999999999999996</v>
      </c>
      <c r="D77" s="37">
        <f>C77+0.05</f>
        <v>0.51</v>
      </c>
      <c r="E77" s="653"/>
      <c r="F77" s="633"/>
      <c r="G77" s="633"/>
      <c r="H77" s="13"/>
      <c r="I77" s="13"/>
      <c r="J77" s="13"/>
      <c r="K77" s="13"/>
      <c r="L77" s="13"/>
      <c r="M77" s="13"/>
      <c r="N77" s="13"/>
      <c r="O77" s="13"/>
      <c r="P77" s="14"/>
      <c r="Q77" s="49"/>
      <c r="R77" s="14" t="s">
        <v>2532</v>
      </c>
      <c r="S77" s="621"/>
      <c r="T77" s="633"/>
      <c r="U77" s="636"/>
    </row>
    <row r="78" spans="1:21" ht="15" thickBot="1" x14ac:dyDescent="0.35">
      <c r="A78" s="644"/>
      <c r="B78" s="609"/>
      <c r="C78" s="38">
        <f>D77</f>
        <v>0.51</v>
      </c>
      <c r="D78" s="38">
        <f>C78+0.027</f>
        <v>0.53700000000000003</v>
      </c>
      <c r="E78" s="650"/>
      <c r="F78" s="634"/>
      <c r="G78" s="634"/>
      <c r="H78" s="19"/>
      <c r="I78" s="19"/>
      <c r="J78" s="19"/>
      <c r="K78" s="19"/>
      <c r="L78" s="19"/>
      <c r="M78" s="19"/>
      <c r="N78" s="19"/>
      <c r="O78" s="19"/>
      <c r="P78" s="20"/>
      <c r="Q78" s="47"/>
      <c r="R78" s="20" t="s">
        <v>2533</v>
      </c>
      <c r="S78" s="631"/>
      <c r="T78" s="634"/>
      <c r="U78" s="637"/>
    </row>
    <row r="79" spans="1:21" x14ac:dyDescent="0.3">
      <c r="A79" s="643" t="s">
        <v>2534</v>
      </c>
      <c r="B79" s="607" t="s">
        <v>2433</v>
      </c>
      <c r="C79" s="36">
        <v>0</v>
      </c>
      <c r="D79" s="36">
        <v>4.9000000000000002E-2</v>
      </c>
      <c r="E79" s="1118">
        <v>1.3640000000000001</v>
      </c>
      <c r="F79" s="641">
        <v>12493</v>
      </c>
      <c r="G79" s="641" t="s">
        <v>51</v>
      </c>
      <c r="H79" s="34"/>
      <c r="I79" s="34"/>
      <c r="J79" s="34"/>
      <c r="K79" s="34"/>
      <c r="L79" s="34"/>
      <c r="M79" s="34"/>
      <c r="N79" s="34"/>
      <c r="O79" s="34"/>
      <c r="P79" s="641">
        <v>446</v>
      </c>
      <c r="Q79" s="647">
        <v>223</v>
      </c>
      <c r="R79" s="33">
        <v>70010011755</v>
      </c>
      <c r="S79" s="640" t="s">
        <v>2484</v>
      </c>
      <c r="T79" s="641" t="s">
        <v>2485</v>
      </c>
      <c r="U79" s="642"/>
    </row>
    <row r="80" spans="1:21" ht="15" thickBot="1" x14ac:dyDescent="0.35">
      <c r="A80" s="644"/>
      <c r="B80" s="609"/>
      <c r="C80" s="38">
        <v>4.9000000000000002E-2</v>
      </c>
      <c r="D80" s="38">
        <v>1.3640000000000001</v>
      </c>
      <c r="E80" s="1119"/>
      <c r="F80" s="634"/>
      <c r="G80" s="634"/>
      <c r="H80" s="19"/>
      <c r="I80" s="19"/>
      <c r="J80" s="19"/>
      <c r="K80" s="19"/>
      <c r="L80" s="19"/>
      <c r="M80" s="19"/>
      <c r="N80" s="19"/>
      <c r="O80" s="19"/>
      <c r="P80" s="634"/>
      <c r="Q80" s="648"/>
      <c r="R80" s="20">
        <v>70010011304</v>
      </c>
      <c r="S80" s="631"/>
      <c r="T80" s="634"/>
      <c r="U80" s="637"/>
    </row>
    <row r="81" spans="1:21" ht="36.6" thickBot="1" x14ac:dyDescent="0.35">
      <c r="A81" s="40" t="s">
        <v>2535</v>
      </c>
      <c r="B81" s="23" t="s">
        <v>902</v>
      </c>
      <c r="C81" s="39">
        <v>0</v>
      </c>
      <c r="D81" s="39">
        <v>0.23300000000000001</v>
      </c>
      <c r="E81" s="39">
        <f t="shared" si="1"/>
        <v>0.23300000000000001</v>
      </c>
      <c r="F81" s="3">
        <f>ROUND((E81*6*1000*1.25),0)</f>
        <v>1748</v>
      </c>
      <c r="G81" s="3" t="s">
        <v>51</v>
      </c>
      <c r="H81" s="27"/>
      <c r="I81" s="27"/>
      <c r="J81" s="27"/>
      <c r="K81" s="27"/>
      <c r="L81" s="27"/>
      <c r="M81" s="27"/>
      <c r="N81" s="27"/>
      <c r="O81" s="27"/>
      <c r="P81" s="3"/>
      <c r="Q81" s="4"/>
      <c r="R81" s="3">
        <v>70010011240</v>
      </c>
      <c r="S81" s="27" t="s">
        <v>2484</v>
      </c>
      <c r="T81" s="3" t="s">
        <v>2485</v>
      </c>
      <c r="U81" s="5"/>
    </row>
    <row r="82" spans="1:21" x14ac:dyDescent="0.3">
      <c r="A82" s="643" t="s">
        <v>2536</v>
      </c>
      <c r="B82" s="607" t="s">
        <v>213</v>
      </c>
      <c r="C82" s="36">
        <v>0</v>
      </c>
      <c r="D82" s="36">
        <v>7.9000000000000001E-2</v>
      </c>
      <c r="E82" s="649">
        <v>0.152</v>
      </c>
      <c r="F82" s="641">
        <f>ROUND((E82*4.1*1000*1.2),0)</f>
        <v>748</v>
      </c>
      <c r="G82" s="641" t="s">
        <v>51</v>
      </c>
      <c r="H82" s="34"/>
      <c r="I82" s="34"/>
      <c r="J82" s="34"/>
      <c r="K82" s="34"/>
      <c r="L82" s="34"/>
      <c r="M82" s="34"/>
      <c r="N82" s="34"/>
      <c r="O82" s="34"/>
      <c r="P82" s="33"/>
      <c r="Q82" s="44"/>
      <c r="R82" s="33">
        <v>70010011624</v>
      </c>
      <c r="S82" s="640" t="s">
        <v>2484</v>
      </c>
      <c r="T82" s="641" t="s">
        <v>2485</v>
      </c>
      <c r="U82" s="642"/>
    </row>
    <row r="83" spans="1:21" ht="15" thickBot="1" x14ac:dyDescent="0.35">
      <c r="A83" s="644"/>
      <c r="B83" s="609"/>
      <c r="C83" s="38">
        <v>7.9000000000000001E-2</v>
      </c>
      <c r="D83" s="38">
        <v>0.152</v>
      </c>
      <c r="E83" s="650"/>
      <c r="F83" s="634"/>
      <c r="G83" s="634"/>
      <c r="H83" s="19"/>
      <c r="I83" s="19"/>
      <c r="J83" s="19"/>
      <c r="K83" s="19"/>
      <c r="L83" s="19"/>
      <c r="M83" s="19"/>
      <c r="N83" s="19"/>
      <c r="O83" s="19"/>
      <c r="P83" s="20"/>
      <c r="Q83" s="47"/>
      <c r="R83" s="20">
        <v>70010011234</v>
      </c>
      <c r="S83" s="631"/>
      <c r="T83" s="634"/>
      <c r="U83" s="637"/>
    </row>
    <row r="84" spans="1:21" ht="36.6" thickBot="1" x14ac:dyDescent="0.35">
      <c r="A84" s="40" t="s">
        <v>2537</v>
      </c>
      <c r="B84" s="23" t="s">
        <v>2538</v>
      </c>
      <c r="C84" s="39">
        <v>0</v>
      </c>
      <c r="D84" s="39">
        <v>0.127</v>
      </c>
      <c r="E84" s="39">
        <f t="shared" si="1"/>
        <v>0.127</v>
      </c>
      <c r="F84" s="3">
        <f>ROUND((E84*6*1000*1.25),0)</f>
        <v>953</v>
      </c>
      <c r="G84" s="3" t="s">
        <v>51</v>
      </c>
      <c r="H84" s="27"/>
      <c r="I84" s="27"/>
      <c r="J84" s="27"/>
      <c r="K84" s="27"/>
      <c r="L84" s="27"/>
      <c r="M84" s="27"/>
      <c r="N84" s="27"/>
      <c r="O84" s="27"/>
      <c r="P84" s="3">
        <v>280</v>
      </c>
      <c r="Q84" s="4">
        <v>155.5</v>
      </c>
      <c r="R84" s="3">
        <v>70010011305</v>
      </c>
      <c r="S84" s="27" t="s">
        <v>2484</v>
      </c>
      <c r="T84" s="3" t="s">
        <v>2485</v>
      </c>
      <c r="U84" s="5"/>
    </row>
    <row r="85" spans="1:21" ht="36.6" thickBot="1" x14ac:dyDescent="0.35">
      <c r="A85" s="40" t="s">
        <v>2539</v>
      </c>
      <c r="B85" s="23" t="s">
        <v>347</v>
      </c>
      <c r="C85" s="39">
        <v>0</v>
      </c>
      <c r="D85" s="39">
        <v>0.253</v>
      </c>
      <c r="E85" s="39">
        <f>D85-C85</f>
        <v>0.253</v>
      </c>
      <c r="F85" s="3">
        <f>ROUND((E85*3.55*1000*1.15),0)</f>
        <v>1033</v>
      </c>
      <c r="G85" s="3" t="s">
        <v>51</v>
      </c>
      <c r="H85" s="27"/>
      <c r="I85" s="27"/>
      <c r="J85" s="27"/>
      <c r="K85" s="27"/>
      <c r="L85" s="27"/>
      <c r="M85" s="27"/>
      <c r="N85" s="27"/>
      <c r="O85" s="27"/>
      <c r="P85" s="3"/>
      <c r="Q85" s="4"/>
      <c r="R85" s="3">
        <v>70010011236</v>
      </c>
      <c r="S85" s="27" t="s">
        <v>2484</v>
      </c>
      <c r="T85" s="3" t="s">
        <v>2485</v>
      </c>
      <c r="U85" s="5"/>
    </row>
    <row r="86" spans="1:21" ht="36.6" thickBot="1" x14ac:dyDescent="0.35">
      <c r="A86" s="40" t="s">
        <v>2540</v>
      </c>
      <c r="B86" s="23" t="s">
        <v>2541</v>
      </c>
      <c r="C86" s="39">
        <v>0</v>
      </c>
      <c r="D86" s="39">
        <v>0.152</v>
      </c>
      <c r="E86" s="39">
        <f t="shared" si="1"/>
        <v>0.152</v>
      </c>
      <c r="F86" s="3">
        <f>ROUND((E86*5.5*1000*1.2),0)</f>
        <v>1003</v>
      </c>
      <c r="G86" s="3" t="s">
        <v>51</v>
      </c>
      <c r="H86" s="27"/>
      <c r="I86" s="27"/>
      <c r="J86" s="27"/>
      <c r="K86" s="27"/>
      <c r="L86" s="27"/>
      <c r="M86" s="27"/>
      <c r="N86" s="27"/>
      <c r="O86" s="27"/>
      <c r="P86" s="3"/>
      <c r="Q86" s="4"/>
      <c r="R86" s="3">
        <v>70010011241</v>
      </c>
      <c r="S86" s="27" t="s">
        <v>2484</v>
      </c>
      <c r="T86" s="3" t="s">
        <v>2485</v>
      </c>
      <c r="U86" s="5"/>
    </row>
    <row r="87" spans="1:21" ht="36.6" thickBot="1" x14ac:dyDescent="0.35">
      <c r="A87" s="40" t="s">
        <v>2542</v>
      </c>
      <c r="B87" s="23" t="s">
        <v>2543</v>
      </c>
      <c r="C87" s="39">
        <v>0</v>
      </c>
      <c r="D87" s="39">
        <v>0.20599999999999999</v>
      </c>
      <c r="E87" s="39">
        <v>0.20599999999999999</v>
      </c>
      <c r="F87" s="3">
        <f>ROUND((E87*5*1000*1.25),0)</f>
        <v>1288</v>
      </c>
      <c r="G87" s="3" t="s">
        <v>51</v>
      </c>
      <c r="H87" s="27"/>
      <c r="I87" s="27"/>
      <c r="J87" s="27"/>
      <c r="K87" s="27"/>
      <c r="L87" s="27"/>
      <c r="M87" s="27"/>
      <c r="N87" s="27"/>
      <c r="O87" s="27"/>
      <c r="P87" s="3">
        <v>120</v>
      </c>
      <c r="Q87" s="4">
        <v>40</v>
      </c>
      <c r="R87" s="3">
        <v>70010011243</v>
      </c>
      <c r="S87" s="27" t="s">
        <v>2484</v>
      </c>
      <c r="T87" s="3" t="s">
        <v>2485</v>
      </c>
      <c r="U87" s="5"/>
    </row>
    <row r="88" spans="1:21" ht="36.6" thickBot="1" x14ac:dyDescent="0.35">
      <c r="A88" s="40" t="s">
        <v>2544</v>
      </c>
      <c r="B88" s="23" t="s">
        <v>909</v>
      </c>
      <c r="C88" s="39">
        <v>0</v>
      </c>
      <c r="D88" s="39">
        <v>0.10299999999999999</v>
      </c>
      <c r="E88" s="39">
        <f t="shared" si="1"/>
        <v>0.10299999999999999</v>
      </c>
      <c r="F88" s="3">
        <f>ROUND((E88*5.5*1000*1.25),0)</f>
        <v>708</v>
      </c>
      <c r="G88" s="3" t="s">
        <v>51</v>
      </c>
      <c r="H88" s="27"/>
      <c r="I88" s="27"/>
      <c r="J88" s="27"/>
      <c r="K88" s="27"/>
      <c r="L88" s="27"/>
      <c r="M88" s="27"/>
      <c r="N88" s="27"/>
      <c r="O88" s="27"/>
      <c r="P88" s="3"/>
      <c r="Q88" s="4"/>
      <c r="R88" s="3">
        <v>70010011245</v>
      </c>
      <c r="S88" s="27" t="s">
        <v>2484</v>
      </c>
      <c r="T88" s="3" t="s">
        <v>2485</v>
      </c>
      <c r="U88" s="5"/>
    </row>
    <row r="89" spans="1:21" ht="36.6" thickBot="1" x14ac:dyDescent="0.35">
      <c r="A89" s="40" t="s">
        <v>2545</v>
      </c>
      <c r="B89" s="23" t="s">
        <v>265</v>
      </c>
      <c r="C89" s="39">
        <v>0</v>
      </c>
      <c r="D89" s="39">
        <v>0.33300000000000002</v>
      </c>
      <c r="E89" s="39">
        <f t="shared" si="1"/>
        <v>0.33300000000000002</v>
      </c>
      <c r="F89" s="3">
        <f>ROUND((E89*6*1000*1.25),0)</f>
        <v>2498</v>
      </c>
      <c r="G89" s="3" t="s">
        <v>51</v>
      </c>
      <c r="H89" s="27"/>
      <c r="I89" s="27"/>
      <c r="J89" s="27"/>
      <c r="K89" s="27"/>
      <c r="L89" s="27"/>
      <c r="M89" s="27"/>
      <c r="N89" s="27"/>
      <c r="O89" s="27"/>
      <c r="P89" s="3">
        <v>516</v>
      </c>
      <c r="Q89" s="4">
        <v>227</v>
      </c>
      <c r="R89" s="3">
        <v>70010011246</v>
      </c>
      <c r="S89" s="27" t="s">
        <v>2484</v>
      </c>
      <c r="T89" s="3" t="s">
        <v>2485</v>
      </c>
      <c r="U89" s="5"/>
    </row>
    <row r="90" spans="1:21" x14ac:dyDescent="0.3">
      <c r="A90" s="643" t="s">
        <v>2546</v>
      </c>
      <c r="B90" s="607" t="s">
        <v>1708</v>
      </c>
      <c r="C90" s="36">
        <v>0</v>
      </c>
      <c r="D90" s="36">
        <v>6.2E-2</v>
      </c>
      <c r="E90" s="649">
        <v>0.83599999999999997</v>
      </c>
      <c r="F90" s="641">
        <f>ROUND((E90*7*1000*1.25),0)</f>
        <v>7315</v>
      </c>
      <c r="G90" s="33" t="s">
        <v>51</v>
      </c>
      <c r="H90" s="34"/>
      <c r="I90" s="34"/>
      <c r="J90" s="34"/>
      <c r="K90" s="34"/>
      <c r="L90" s="34"/>
      <c r="M90" s="34"/>
      <c r="N90" s="34"/>
      <c r="O90" s="34"/>
      <c r="P90" s="641">
        <v>391</v>
      </c>
      <c r="Q90" s="647">
        <v>195</v>
      </c>
      <c r="R90" s="33">
        <v>70010011638</v>
      </c>
      <c r="S90" s="640" t="s">
        <v>2484</v>
      </c>
      <c r="T90" s="641" t="s">
        <v>2485</v>
      </c>
      <c r="U90" s="642"/>
    </row>
    <row r="91" spans="1:21" x14ac:dyDescent="0.3">
      <c r="A91" s="742"/>
      <c r="B91" s="608"/>
      <c r="C91" s="37">
        <v>6.2E-2</v>
      </c>
      <c r="D91" s="37">
        <v>0.16700000000000001</v>
      </c>
      <c r="E91" s="653"/>
      <c r="F91" s="633"/>
      <c r="G91" s="14" t="s">
        <v>51</v>
      </c>
      <c r="H91" s="13"/>
      <c r="I91" s="13"/>
      <c r="J91" s="13"/>
      <c r="K91" s="13"/>
      <c r="L91" s="13"/>
      <c r="M91" s="13"/>
      <c r="N91" s="13"/>
      <c r="O91" s="13"/>
      <c r="P91" s="633"/>
      <c r="Q91" s="655"/>
      <c r="R91" s="14">
        <v>70010011637</v>
      </c>
      <c r="S91" s="621"/>
      <c r="T91" s="633"/>
      <c r="U91" s="636"/>
    </row>
    <row r="92" spans="1:21" x14ac:dyDescent="0.3">
      <c r="A92" s="742"/>
      <c r="B92" s="608"/>
      <c r="C92" s="37">
        <v>0.16700000000000001</v>
      </c>
      <c r="D92" s="37">
        <v>0.28399999999999997</v>
      </c>
      <c r="E92" s="653"/>
      <c r="F92" s="633"/>
      <c r="G92" s="14" t="s">
        <v>51</v>
      </c>
      <c r="H92" s="13"/>
      <c r="I92" s="13"/>
      <c r="J92" s="13"/>
      <c r="K92" s="13"/>
      <c r="L92" s="13"/>
      <c r="M92" s="13"/>
      <c r="N92" s="13"/>
      <c r="O92" s="13"/>
      <c r="P92" s="633"/>
      <c r="Q92" s="655"/>
      <c r="R92" s="14">
        <v>70010011639</v>
      </c>
      <c r="S92" s="621"/>
      <c r="T92" s="633"/>
      <c r="U92" s="636"/>
    </row>
    <row r="93" spans="1:21" x14ac:dyDescent="0.3">
      <c r="A93" s="742"/>
      <c r="B93" s="608"/>
      <c r="C93" s="37">
        <v>0.28399999999999997</v>
      </c>
      <c r="D93" s="37">
        <v>0.56899999999999995</v>
      </c>
      <c r="E93" s="653"/>
      <c r="F93" s="633"/>
      <c r="G93" s="14" t="s">
        <v>51</v>
      </c>
      <c r="H93" s="13"/>
      <c r="I93" s="13"/>
      <c r="J93" s="13"/>
      <c r="K93" s="13"/>
      <c r="L93" s="13"/>
      <c r="M93" s="13"/>
      <c r="N93" s="13"/>
      <c r="O93" s="13"/>
      <c r="P93" s="633"/>
      <c r="Q93" s="655"/>
      <c r="R93" s="14">
        <v>70010011249</v>
      </c>
      <c r="S93" s="621"/>
      <c r="T93" s="633"/>
      <c r="U93" s="636"/>
    </row>
    <row r="94" spans="1:21" x14ac:dyDescent="0.3">
      <c r="A94" s="742"/>
      <c r="B94" s="608"/>
      <c r="C94" s="37">
        <v>0.56899999999999995</v>
      </c>
      <c r="D94" s="37">
        <v>0.68899999999999995</v>
      </c>
      <c r="E94" s="653"/>
      <c r="F94" s="633"/>
      <c r="G94" s="14" t="s">
        <v>51</v>
      </c>
      <c r="H94" s="13"/>
      <c r="I94" s="13"/>
      <c r="J94" s="13"/>
      <c r="K94" s="13"/>
      <c r="L94" s="13"/>
      <c r="M94" s="13"/>
      <c r="N94" s="13"/>
      <c r="O94" s="13"/>
      <c r="P94" s="633"/>
      <c r="Q94" s="655"/>
      <c r="R94" s="14">
        <v>70010011754</v>
      </c>
      <c r="S94" s="621"/>
      <c r="T94" s="633"/>
      <c r="U94" s="636"/>
    </row>
    <row r="95" spans="1:21" x14ac:dyDescent="0.3">
      <c r="A95" s="742"/>
      <c r="B95" s="608"/>
      <c r="C95" s="37">
        <v>0.68899999999999995</v>
      </c>
      <c r="D95" s="37">
        <v>0.70399999999999996</v>
      </c>
      <c r="E95" s="653"/>
      <c r="F95" s="633"/>
      <c r="G95" s="14" t="s">
        <v>51</v>
      </c>
      <c r="H95" s="13"/>
      <c r="I95" s="13"/>
      <c r="J95" s="13"/>
      <c r="K95" s="13"/>
      <c r="L95" s="13"/>
      <c r="M95" s="13"/>
      <c r="N95" s="13"/>
      <c r="O95" s="13"/>
      <c r="P95" s="633"/>
      <c r="Q95" s="655"/>
      <c r="R95" s="14">
        <v>70010011490</v>
      </c>
      <c r="S95" s="621"/>
      <c r="T95" s="633"/>
      <c r="U95" s="636"/>
    </row>
    <row r="96" spans="1:21" x14ac:dyDescent="0.3">
      <c r="A96" s="742"/>
      <c r="B96" s="608"/>
      <c r="C96" s="37">
        <v>0.70399999999999996</v>
      </c>
      <c r="D96" s="37">
        <v>0.76200000000000001</v>
      </c>
      <c r="E96" s="653"/>
      <c r="F96" s="633"/>
      <c r="G96" s="14" t="s">
        <v>51</v>
      </c>
      <c r="H96" s="13"/>
      <c r="I96" s="13"/>
      <c r="J96" s="13"/>
      <c r="K96" s="13"/>
      <c r="L96" s="13"/>
      <c r="M96" s="13"/>
      <c r="N96" s="13"/>
      <c r="O96" s="13"/>
      <c r="P96" s="633"/>
      <c r="Q96" s="655"/>
      <c r="R96" s="14" t="s">
        <v>2547</v>
      </c>
      <c r="S96" s="621"/>
      <c r="T96" s="633"/>
      <c r="U96" s="636"/>
    </row>
    <row r="97" spans="1:21" ht="15" thickBot="1" x14ac:dyDescent="0.35">
      <c r="A97" s="644"/>
      <c r="B97" s="609"/>
      <c r="C97" s="38">
        <v>0.76200000000000001</v>
      </c>
      <c r="D97" s="38">
        <v>0.83599999999999997</v>
      </c>
      <c r="E97" s="650"/>
      <c r="F97" s="634"/>
      <c r="G97" s="20" t="s">
        <v>51</v>
      </c>
      <c r="H97" s="19"/>
      <c r="I97" s="19"/>
      <c r="J97" s="19"/>
      <c r="K97" s="19"/>
      <c r="L97" s="19"/>
      <c r="M97" s="19"/>
      <c r="N97" s="19"/>
      <c r="O97" s="19"/>
      <c r="P97" s="634"/>
      <c r="Q97" s="648"/>
      <c r="R97" s="20">
        <v>70010011490</v>
      </c>
      <c r="S97" s="631"/>
      <c r="T97" s="634"/>
      <c r="U97" s="637"/>
    </row>
    <row r="98" spans="1:21" ht="36.6" thickBot="1" x14ac:dyDescent="0.35">
      <c r="A98" s="40" t="s">
        <v>2548</v>
      </c>
      <c r="B98" s="23" t="s">
        <v>2549</v>
      </c>
      <c r="C98" s="39">
        <v>0</v>
      </c>
      <c r="D98" s="39">
        <v>0.73399999999999999</v>
      </c>
      <c r="E98" s="39">
        <f t="shared" si="1"/>
        <v>0.73399999999999999</v>
      </c>
      <c r="F98" s="3">
        <f>ROUND((E98*6.3*1000*1.25),0)</f>
        <v>5780</v>
      </c>
      <c r="G98" s="3" t="s">
        <v>51</v>
      </c>
      <c r="H98" s="27"/>
      <c r="I98" s="27"/>
      <c r="J98" s="27"/>
      <c r="K98" s="27"/>
      <c r="L98" s="27"/>
      <c r="M98" s="27"/>
      <c r="N98" s="27"/>
      <c r="O98" s="27"/>
      <c r="P98" s="3">
        <v>1546</v>
      </c>
      <c r="Q98" s="4">
        <v>850</v>
      </c>
      <c r="R98" s="3">
        <v>70010011248</v>
      </c>
      <c r="S98" s="27" t="s">
        <v>2484</v>
      </c>
      <c r="T98" s="3" t="s">
        <v>2485</v>
      </c>
      <c r="U98" s="5"/>
    </row>
    <row r="99" spans="1:21" x14ac:dyDescent="0.3">
      <c r="A99" s="643" t="s">
        <v>2550</v>
      </c>
      <c r="B99" s="607" t="s">
        <v>2551</v>
      </c>
      <c r="C99" s="36">
        <v>0</v>
      </c>
      <c r="D99" s="36">
        <v>0.19800000000000001</v>
      </c>
      <c r="E99" s="649">
        <v>0.82499999999999996</v>
      </c>
      <c r="F99" s="33">
        <f>ROUND((D99*5*1000*1.25),0)</f>
        <v>1238</v>
      </c>
      <c r="G99" s="641" t="s">
        <v>51</v>
      </c>
      <c r="H99" s="34"/>
      <c r="I99" s="34"/>
      <c r="J99" s="34"/>
      <c r="K99" s="34"/>
      <c r="L99" s="34"/>
      <c r="M99" s="34"/>
      <c r="N99" s="34"/>
      <c r="O99" s="34"/>
      <c r="P99" s="33"/>
      <c r="Q99" s="44"/>
      <c r="R99" s="33">
        <v>70010011250</v>
      </c>
      <c r="S99" s="640" t="s">
        <v>2484</v>
      </c>
      <c r="T99" s="641" t="s">
        <v>2485</v>
      </c>
      <c r="U99" s="642"/>
    </row>
    <row r="100" spans="1:21" ht="15" thickBot="1" x14ac:dyDescent="0.35">
      <c r="A100" s="644"/>
      <c r="B100" s="609"/>
      <c r="C100" s="38">
        <v>0.19800000000000001</v>
      </c>
      <c r="D100" s="38">
        <v>0.82499999999999996</v>
      </c>
      <c r="E100" s="650"/>
      <c r="F100" s="20">
        <f>ROUND(((D100-C100)*5*1000*1.25),0)</f>
        <v>3919</v>
      </c>
      <c r="G100" s="634"/>
      <c r="H100" s="19"/>
      <c r="I100" s="19"/>
      <c r="J100" s="19"/>
      <c r="K100" s="19"/>
      <c r="L100" s="19"/>
      <c r="M100" s="19"/>
      <c r="N100" s="19"/>
      <c r="O100" s="19"/>
      <c r="P100" s="20"/>
      <c r="Q100" s="47"/>
      <c r="R100" s="20">
        <v>70010011752</v>
      </c>
      <c r="S100" s="631"/>
      <c r="T100" s="634"/>
      <c r="U100" s="637"/>
    </row>
    <row r="101" spans="1:21" x14ac:dyDescent="0.3">
      <c r="A101" s="643" t="s">
        <v>2552</v>
      </c>
      <c r="B101" s="607" t="s">
        <v>2553</v>
      </c>
      <c r="C101" s="36">
        <v>0</v>
      </c>
      <c r="D101" s="36">
        <v>0.183</v>
      </c>
      <c r="E101" s="649">
        <v>0.76200000000000001</v>
      </c>
      <c r="F101" s="33">
        <f>ROUND((D101*5.8*1000*1.2),0)</f>
        <v>1274</v>
      </c>
      <c r="G101" s="33" t="s">
        <v>51</v>
      </c>
      <c r="H101" s="34"/>
      <c r="I101" s="34"/>
      <c r="J101" s="34"/>
      <c r="K101" s="34"/>
      <c r="L101" s="34"/>
      <c r="M101" s="34"/>
      <c r="N101" s="34"/>
      <c r="O101" s="34"/>
      <c r="P101" s="641">
        <v>50</v>
      </c>
      <c r="Q101" s="647">
        <v>25</v>
      </c>
      <c r="R101" s="641">
        <v>70010011251</v>
      </c>
      <c r="S101" s="640" t="s">
        <v>2484</v>
      </c>
      <c r="T101" s="641" t="s">
        <v>2485</v>
      </c>
      <c r="U101" s="642"/>
    </row>
    <row r="102" spans="1:21" x14ac:dyDescent="0.3">
      <c r="A102" s="742"/>
      <c r="B102" s="608"/>
      <c r="C102" s="37">
        <v>0.183</v>
      </c>
      <c r="D102" s="37">
        <v>0.499</v>
      </c>
      <c r="E102" s="653"/>
      <c r="F102" s="14">
        <f>ROUND(((D102-C102)*3*1000),0)</f>
        <v>948</v>
      </c>
      <c r="G102" s="14" t="s">
        <v>32</v>
      </c>
      <c r="H102" s="13"/>
      <c r="I102" s="13"/>
      <c r="J102" s="13"/>
      <c r="K102" s="13"/>
      <c r="L102" s="13"/>
      <c r="M102" s="13"/>
      <c r="N102" s="13"/>
      <c r="O102" s="13"/>
      <c r="P102" s="633"/>
      <c r="Q102" s="655"/>
      <c r="R102" s="633"/>
      <c r="S102" s="621"/>
      <c r="T102" s="633"/>
      <c r="U102" s="636"/>
    </row>
    <row r="103" spans="1:21" x14ac:dyDescent="0.3">
      <c r="A103" s="742"/>
      <c r="B103" s="608"/>
      <c r="C103" s="37">
        <v>0.499</v>
      </c>
      <c r="D103" s="37">
        <v>0.63200000000000001</v>
      </c>
      <c r="E103" s="653"/>
      <c r="F103" s="633">
        <f>ROUND(((D104-C103)*3.5*1000*1.25),0)</f>
        <v>634</v>
      </c>
      <c r="G103" s="14" t="s">
        <v>51</v>
      </c>
      <c r="H103" s="13"/>
      <c r="I103" s="13"/>
      <c r="J103" s="13"/>
      <c r="K103" s="13"/>
      <c r="L103" s="13"/>
      <c r="M103" s="13"/>
      <c r="N103" s="13"/>
      <c r="O103" s="13"/>
      <c r="P103" s="633"/>
      <c r="Q103" s="655"/>
      <c r="R103" s="633"/>
      <c r="S103" s="621"/>
      <c r="T103" s="633"/>
      <c r="U103" s="636"/>
    </row>
    <row r="104" spans="1:21" x14ac:dyDescent="0.3">
      <c r="A104" s="742"/>
      <c r="B104" s="608"/>
      <c r="C104" s="37">
        <v>0.63200000000000001</v>
      </c>
      <c r="D104" s="37">
        <v>0.64400000000000002</v>
      </c>
      <c r="E104" s="653"/>
      <c r="F104" s="633"/>
      <c r="G104" s="14" t="s">
        <v>51</v>
      </c>
      <c r="H104" s="13"/>
      <c r="I104" s="13"/>
      <c r="J104" s="13"/>
      <c r="K104" s="13"/>
      <c r="L104" s="13"/>
      <c r="M104" s="13"/>
      <c r="N104" s="13"/>
      <c r="O104" s="13"/>
      <c r="P104" s="633"/>
      <c r="Q104" s="655"/>
      <c r="R104" s="14">
        <v>70010011622</v>
      </c>
      <c r="S104" s="621"/>
      <c r="T104" s="633"/>
      <c r="U104" s="636"/>
    </row>
    <row r="105" spans="1:21" x14ac:dyDescent="0.3">
      <c r="A105" s="742"/>
      <c r="B105" s="608"/>
      <c r="C105" s="37">
        <v>0.64400000000000002</v>
      </c>
      <c r="D105" s="37">
        <v>0.73199999999999998</v>
      </c>
      <c r="E105" s="653"/>
      <c r="F105" s="14">
        <f>ROUND(((D105-C105)*5*1000*1.15),0)</f>
        <v>506</v>
      </c>
      <c r="G105" s="14" t="s">
        <v>32</v>
      </c>
      <c r="H105" s="13"/>
      <c r="I105" s="13"/>
      <c r="J105" s="13"/>
      <c r="K105" s="13"/>
      <c r="L105" s="13"/>
      <c r="M105" s="13"/>
      <c r="N105" s="13"/>
      <c r="O105" s="13"/>
      <c r="P105" s="633"/>
      <c r="Q105" s="655"/>
      <c r="R105" s="14">
        <v>70010011622</v>
      </c>
      <c r="S105" s="621"/>
      <c r="T105" s="633"/>
      <c r="U105" s="636"/>
    </row>
    <row r="106" spans="1:21" ht="15" thickBot="1" x14ac:dyDescent="0.35">
      <c r="A106" s="644"/>
      <c r="B106" s="609"/>
      <c r="C106" s="38">
        <v>0.73199999999999998</v>
      </c>
      <c r="D106" s="38">
        <v>0.76200000000000001</v>
      </c>
      <c r="E106" s="650"/>
      <c r="F106" s="20">
        <f>ROUND((D106*3.4*1000),0)</f>
        <v>2591</v>
      </c>
      <c r="G106" s="20" t="s">
        <v>51</v>
      </c>
      <c r="H106" s="19"/>
      <c r="I106" s="19"/>
      <c r="J106" s="19"/>
      <c r="K106" s="19"/>
      <c r="L106" s="19"/>
      <c r="M106" s="19"/>
      <c r="N106" s="19"/>
      <c r="O106" s="19"/>
      <c r="P106" s="634"/>
      <c r="Q106" s="648"/>
      <c r="R106" s="20">
        <v>70010011251</v>
      </c>
      <c r="S106" s="631"/>
      <c r="T106" s="634"/>
      <c r="U106" s="637"/>
    </row>
    <row r="107" spans="1:21" x14ac:dyDescent="0.3">
      <c r="A107" s="643" t="s">
        <v>2554</v>
      </c>
      <c r="B107" s="607" t="s">
        <v>2555</v>
      </c>
      <c r="C107" s="36">
        <v>0</v>
      </c>
      <c r="D107" s="36">
        <v>9.4E-2</v>
      </c>
      <c r="E107" s="649">
        <v>0.158</v>
      </c>
      <c r="F107" s="641">
        <f>ROUND((E107*6*1000*1.25),0)</f>
        <v>1185</v>
      </c>
      <c r="G107" s="33" t="s">
        <v>51</v>
      </c>
      <c r="H107" s="34"/>
      <c r="I107" s="34"/>
      <c r="J107" s="34"/>
      <c r="K107" s="34"/>
      <c r="L107" s="34"/>
      <c r="M107" s="34"/>
      <c r="N107" s="34"/>
      <c r="O107" s="34"/>
      <c r="P107" s="33"/>
      <c r="Q107" s="44"/>
      <c r="R107" s="33">
        <v>70010011253</v>
      </c>
      <c r="S107" s="640" t="s">
        <v>2484</v>
      </c>
      <c r="T107" s="641" t="s">
        <v>2485</v>
      </c>
      <c r="U107" s="642"/>
    </row>
    <row r="108" spans="1:21" ht="15" thickBot="1" x14ac:dyDescent="0.35">
      <c r="A108" s="644"/>
      <c r="B108" s="609"/>
      <c r="C108" s="38">
        <v>9.4E-2</v>
      </c>
      <c r="D108" s="38">
        <v>0.158</v>
      </c>
      <c r="E108" s="650"/>
      <c r="F108" s="634"/>
      <c r="G108" s="20" t="s">
        <v>51</v>
      </c>
      <c r="H108" s="19"/>
      <c r="I108" s="19"/>
      <c r="J108" s="19"/>
      <c r="K108" s="19"/>
      <c r="L108" s="19"/>
      <c r="M108" s="19"/>
      <c r="N108" s="19"/>
      <c r="O108" s="19"/>
      <c r="P108" s="20"/>
      <c r="Q108" s="47"/>
      <c r="R108" s="20">
        <v>70010011625</v>
      </c>
      <c r="S108" s="631"/>
      <c r="T108" s="634"/>
      <c r="U108" s="637"/>
    </row>
    <row r="109" spans="1:21" ht="36.6" thickBot="1" x14ac:dyDescent="0.35">
      <c r="A109" s="40" t="s">
        <v>2556</v>
      </c>
      <c r="B109" s="23" t="s">
        <v>2557</v>
      </c>
      <c r="C109" s="39">
        <v>0</v>
      </c>
      <c r="D109" s="39">
        <v>0.26500000000000001</v>
      </c>
      <c r="E109" s="39">
        <f t="shared" si="1"/>
        <v>0.26500000000000001</v>
      </c>
      <c r="F109" s="3">
        <f>ROUND((E109*4.5*1000*1.15),0)</f>
        <v>1371</v>
      </c>
      <c r="G109" s="3" t="s">
        <v>51</v>
      </c>
      <c r="H109" s="27"/>
      <c r="I109" s="27"/>
      <c r="J109" s="27"/>
      <c r="K109" s="27"/>
      <c r="L109" s="27"/>
      <c r="M109" s="27"/>
      <c r="N109" s="27"/>
      <c r="O109" s="27"/>
      <c r="P109" s="3"/>
      <c r="Q109" s="4"/>
      <c r="R109" s="3">
        <v>70010011254</v>
      </c>
      <c r="S109" s="27" t="s">
        <v>2484</v>
      </c>
      <c r="T109" s="3" t="s">
        <v>2485</v>
      </c>
      <c r="U109" s="5"/>
    </row>
    <row r="110" spans="1:21" x14ac:dyDescent="0.3">
      <c r="A110" s="643" t="s">
        <v>2558</v>
      </c>
      <c r="B110" s="607" t="s">
        <v>2559</v>
      </c>
      <c r="C110" s="36">
        <v>0</v>
      </c>
      <c r="D110" s="36">
        <v>6.6000000000000003E-2</v>
      </c>
      <c r="E110" s="649">
        <v>0.112</v>
      </c>
      <c r="F110" s="641">
        <f>ROUND((E110*4.5*1000*1.2),0)</f>
        <v>605</v>
      </c>
      <c r="G110" s="641" t="s">
        <v>51</v>
      </c>
      <c r="H110" s="34"/>
      <c r="I110" s="34"/>
      <c r="J110" s="34"/>
      <c r="K110" s="34"/>
      <c r="L110" s="34"/>
      <c r="M110" s="34"/>
      <c r="N110" s="34"/>
      <c r="O110" s="34"/>
      <c r="P110" s="33"/>
      <c r="Q110" s="44"/>
      <c r="R110" s="33">
        <v>70010011255</v>
      </c>
      <c r="S110" s="640" t="s">
        <v>2484</v>
      </c>
      <c r="T110" s="641" t="s">
        <v>2485</v>
      </c>
      <c r="U110" s="642"/>
    </row>
    <row r="111" spans="1:21" ht="15" thickBot="1" x14ac:dyDescent="0.35">
      <c r="A111" s="644"/>
      <c r="B111" s="609"/>
      <c r="C111" s="38">
        <v>6.6000000000000003E-2</v>
      </c>
      <c r="D111" s="38">
        <v>0.112</v>
      </c>
      <c r="E111" s="650"/>
      <c r="F111" s="634"/>
      <c r="G111" s="634"/>
      <c r="H111" s="19"/>
      <c r="I111" s="19"/>
      <c r="J111" s="19"/>
      <c r="K111" s="19"/>
      <c r="L111" s="19"/>
      <c r="M111" s="19"/>
      <c r="N111" s="19"/>
      <c r="O111" s="19"/>
      <c r="P111" s="20"/>
      <c r="Q111" s="47"/>
      <c r="R111" s="20">
        <v>70010011756</v>
      </c>
      <c r="S111" s="631"/>
      <c r="T111" s="634"/>
      <c r="U111" s="637"/>
    </row>
    <row r="112" spans="1:21" ht="36.6" thickBot="1" x14ac:dyDescent="0.35">
      <c r="A112" s="40" t="s">
        <v>2560</v>
      </c>
      <c r="B112" s="23" t="s">
        <v>914</v>
      </c>
      <c r="C112" s="39">
        <v>0</v>
      </c>
      <c r="D112" s="39">
        <v>0.152</v>
      </c>
      <c r="E112" s="39">
        <f t="shared" si="1"/>
        <v>0.152</v>
      </c>
      <c r="F112" s="3">
        <f>ROUND((E112*4.8*1000*1.25),0)</f>
        <v>912</v>
      </c>
      <c r="G112" s="3" t="s">
        <v>51</v>
      </c>
      <c r="H112" s="27"/>
      <c r="I112" s="27"/>
      <c r="J112" s="27"/>
      <c r="K112" s="27"/>
      <c r="L112" s="27"/>
      <c r="M112" s="27"/>
      <c r="N112" s="27"/>
      <c r="O112" s="27"/>
      <c r="P112" s="3"/>
      <c r="Q112" s="4"/>
      <c r="R112" s="3">
        <v>70010011257</v>
      </c>
      <c r="S112" s="27" t="s">
        <v>2484</v>
      </c>
      <c r="T112" s="3" t="s">
        <v>2485</v>
      </c>
      <c r="U112" s="5"/>
    </row>
    <row r="113" spans="1:21" x14ac:dyDescent="0.3">
      <c r="A113" s="643" t="s">
        <v>2561</v>
      </c>
      <c r="B113" s="607" t="s">
        <v>2562</v>
      </c>
      <c r="C113" s="36">
        <v>0</v>
      </c>
      <c r="D113" s="36">
        <v>0.184</v>
      </c>
      <c r="E113" s="649">
        <v>0.26100000000000001</v>
      </c>
      <c r="F113" s="641">
        <f>ROUND((E113*4.7*1000*1.25),0)</f>
        <v>1533</v>
      </c>
      <c r="G113" s="641" t="s">
        <v>51</v>
      </c>
      <c r="H113" s="34"/>
      <c r="I113" s="34"/>
      <c r="J113" s="34"/>
      <c r="K113" s="34"/>
      <c r="L113" s="34"/>
      <c r="M113" s="34"/>
      <c r="N113" s="34"/>
      <c r="O113" s="34"/>
      <c r="P113" s="33"/>
      <c r="Q113" s="44"/>
      <c r="R113" s="33">
        <v>70010011258</v>
      </c>
      <c r="S113" s="640" t="s">
        <v>2484</v>
      </c>
      <c r="T113" s="641" t="s">
        <v>2485</v>
      </c>
      <c r="U113" s="642"/>
    </row>
    <row r="114" spans="1:21" ht="15" thickBot="1" x14ac:dyDescent="0.35">
      <c r="A114" s="644"/>
      <c r="B114" s="609"/>
      <c r="C114" s="38">
        <v>0.184</v>
      </c>
      <c r="D114" s="38">
        <v>0.26100000000000001</v>
      </c>
      <c r="E114" s="650"/>
      <c r="F114" s="634"/>
      <c r="G114" s="634"/>
      <c r="H114" s="19"/>
      <c r="I114" s="19"/>
      <c r="J114" s="19"/>
      <c r="K114" s="19"/>
      <c r="L114" s="19"/>
      <c r="M114" s="19"/>
      <c r="N114" s="19"/>
      <c r="O114" s="19"/>
      <c r="P114" s="20"/>
      <c r="Q114" s="47"/>
      <c r="R114" s="20">
        <v>70010011648</v>
      </c>
      <c r="S114" s="631"/>
      <c r="T114" s="634"/>
      <c r="U114" s="637"/>
    </row>
    <row r="115" spans="1:21" x14ac:dyDescent="0.3">
      <c r="A115" s="643" t="s">
        <v>2563</v>
      </c>
      <c r="B115" s="607" t="s">
        <v>240</v>
      </c>
      <c r="C115" s="36">
        <v>0</v>
      </c>
      <c r="D115" s="36">
        <v>0.128</v>
      </c>
      <c r="E115" s="1118">
        <v>0.22600000000000001</v>
      </c>
      <c r="F115" s="641">
        <v>960</v>
      </c>
      <c r="G115" s="641" t="s">
        <v>51</v>
      </c>
      <c r="H115" s="34"/>
      <c r="I115" s="34"/>
      <c r="J115" s="34"/>
      <c r="K115" s="34"/>
      <c r="L115" s="34"/>
      <c r="M115" s="34"/>
      <c r="N115" s="34"/>
      <c r="O115" s="34"/>
      <c r="P115" s="33"/>
      <c r="Q115" s="44"/>
      <c r="R115" s="33">
        <v>70010011623</v>
      </c>
      <c r="S115" s="640" t="s">
        <v>2484</v>
      </c>
      <c r="T115" s="641" t="s">
        <v>2485</v>
      </c>
      <c r="U115" s="642"/>
    </row>
    <row r="116" spans="1:21" ht="15" thickBot="1" x14ac:dyDescent="0.35">
      <c r="A116" s="644"/>
      <c r="B116" s="609"/>
      <c r="C116" s="38">
        <v>0.128</v>
      </c>
      <c r="D116" s="38">
        <v>0.22600000000000001</v>
      </c>
      <c r="E116" s="1119"/>
      <c r="F116" s="634"/>
      <c r="G116" s="634"/>
      <c r="H116" s="19"/>
      <c r="I116" s="19"/>
      <c r="J116" s="19"/>
      <c r="K116" s="19"/>
      <c r="L116" s="19"/>
      <c r="M116" s="19"/>
      <c r="N116" s="19"/>
      <c r="O116" s="19"/>
      <c r="P116" s="20"/>
      <c r="Q116" s="17"/>
      <c r="R116" s="20">
        <v>70010011259</v>
      </c>
      <c r="S116" s="631"/>
      <c r="T116" s="634"/>
      <c r="U116" s="637"/>
    </row>
    <row r="117" spans="1:21" ht="36.6" thickBot="1" x14ac:dyDescent="0.35">
      <c r="A117" s="40" t="s">
        <v>2564</v>
      </c>
      <c r="B117" s="23" t="s">
        <v>2565</v>
      </c>
      <c r="C117" s="39">
        <v>0</v>
      </c>
      <c r="D117" s="39">
        <v>0.23400000000000001</v>
      </c>
      <c r="E117" s="39">
        <f t="shared" si="1"/>
        <v>0.23400000000000001</v>
      </c>
      <c r="F117" s="3">
        <f>ROUND((E117*6*1000*1.15),0)</f>
        <v>1615</v>
      </c>
      <c r="G117" s="3" t="s">
        <v>51</v>
      </c>
      <c r="H117" s="27"/>
      <c r="I117" s="27"/>
      <c r="J117" s="27"/>
      <c r="K117" s="27"/>
      <c r="L117" s="27"/>
      <c r="M117" s="27"/>
      <c r="N117" s="27"/>
      <c r="O117" s="27"/>
      <c r="P117" s="3">
        <v>634</v>
      </c>
      <c r="Q117" s="4">
        <v>317</v>
      </c>
      <c r="R117" s="3">
        <v>70010011307</v>
      </c>
      <c r="S117" s="27" t="s">
        <v>2484</v>
      </c>
      <c r="T117" s="3" t="s">
        <v>2485</v>
      </c>
      <c r="U117" s="5"/>
    </row>
    <row r="118" spans="1:21" ht="36.6" thickBot="1" x14ac:dyDescent="0.35">
      <c r="A118" s="40" t="s">
        <v>2566</v>
      </c>
      <c r="B118" s="23" t="s">
        <v>405</v>
      </c>
      <c r="C118" s="39">
        <v>0</v>
      </c>
      <c r="D118" s="39">
        <v>7.0000000000000007E-2</v>
      </c>
      <c r="E118" s="39">
        <f t="shared" si="1"/>
        <v>7.0000000000000007E-2</v>
      </c>
      <c r="F118" s="3">
        <f>ROUND((E118*3.5*1000),0)</f>
        <v>245</v>
      </c>
      <c r="G118" s="3" t="s">
        <v>32</v>
      </c>
      <c r="H118" s="27"/>
      <c r="I118" s="27"/>
      <c r="J118" s="27"/>
      <c r="K118" s="27"/>
      <c r="L118" s="27"/>
      <c r="M118" s="27"/>
      <c r="N118" s="27"/>
      <c r="O118" s="27"/>
      <c r="P118" s="3"/>
      <c r="Q118" s="4"/>
      <c r="R118" s="3">
        <v>70010011263</v>
      </c>
      <c r="S118" s="27" t="s">
        <v>2484</v>
      </c>
      <c r="T118" s="3" t="s">
        <v>2485</v>
      </c>
      <c r="U118" s="5"/>
    </row>
    <row r="119" spans="1:21" x14ac:dyDescent="0.3">
      <c r="A119" s="643" t="s">
        <v>2567</v>
      </c>
      <c r="B119" s="607" t="s">
        <v>221</v>
      </c>
      <c r="C119" s="36">
        <v>0</v>
      </c>
      <c r="D119" s="36">
        <v>0.621</v>
      </c>
      <c r="E119" s="649">
        <v>0.81100000000000005</v>
      </c>
      <c r="F119" s="33">
        <f>ROUND((E119*5.5*1000*1.25),0)</f>
        <v>5576</v>
      </c>
      <c r="G119" s="33" t="s">
        <v>51</v>
      </c>
      <c r="H119" s="34"/>
      <c r="I119" s="34"/>
      <c r="J119" s="34"/>
      <c r="K119" s="34"/>
      <c r="L119" s="34"/>
      <c r="M119" s="34"/>
      <c r="N119" s="34"/>
      <c r="O119" s="34"/>
      <c r="P119" s="33"/>
      <c r="Q119" s="44"/>
      <c r="R119" s="33">
        <v>70010011265</v>
      </c>
      <c r="S119" s="640" t="s">
        <v>2484</v>
      </c>
      <c r="T119" s="641" t="s">
        <v>2485</v>
      </c>
      <c r="U119" s="642" t="s">
        <v>67</v>
      </c>
    </row>
    <row r="120" spans="1:21" ht="15" thickBot="1" x14ac:dyDescent="0.35">
      <c r="A120" s="644"/>
      <c r="B120" s="609"/>
      <c r="C120" s="38">
        <v>0.621</v>
      </c>
      <c r="D120" s="38">
        <v>0.81100000000000005</v>
      </c>
      <c r="E120" s="650"/>
      <c r="F120" s="20">
        <v>393</v>
      </c>
      <c r="G120" s="20" t="s">
        <v>32</v>
      </c>
      <c r="H120" s="19"/>
      <c r="I120" s="19"/>
      <c r="J120" s="19"/>
      <c r="K120" s="19"/>
      <c r="L120" s="19"/>
      <c r="M120" s="19"/>
      <c r="N120" s="19" t="s">
        <v>161</v>
      </c>
      <c r="O120" s="19"/>
      <c r="P120" s="20"/>
      <c r="Q120" s="47"/>
      <c r="R120" s="20">
        <v>70010011635</v>
      </c>
      <c r="S120" s="631"/>
      <c r="T120" s="634"/>
      <c r="U120" s="637"/>
    </row>
    <row r="121" spans="1:21" ht="36.6" thickBot="1" x14ac:dyDescent="0.35">
      <c r="A121" s="40" t="s">
        <v>2568</v>
      </c>
      <c r="B121" s="23" t="s">
        <v>2569</v>
      </c>
      <c r="C121" s="39">
        <v>0</v>
      </c>
      <c r="D121" s="39">
        <v>0.184</v>
      </c>
      <c r="E121" s="39">
        <f t="shared" si="1"/>
        <v>0.184</v>
      </c>
      <c r="F121" s="3">
        <f>ROUND((E121*6*1000),0)</f>
        <v>1104</v>
      </c>
      <c r="G121" s="3" t="s">
        <v>32</v>
      </c>
      <c r="H121" s="27"/>
      <c r="I121" s="27"/>
      <c r="J121" s="27"/>
      <c r="K121" s="27"/>
      <c r="L121" s="27"/>
      <c r="M121" s="27"/>
      <c r="N121" s="27"/>
      <c r="O121" s="27"/>
      <c r="P121" s="3"/>
      <c r="Q121" s="4"/>
      <c r="R121" s="3">
        <v>70010011628</v>
      </c>
      <c r="S121" s="27" t="s">
        <v>2484</v>
      </c>
      <c r="T121" s="3" t="s">
        <v>2485</v>
      </c>
      <c r="U121" s="5"/>
    </row>
    <row r="122" spans="1:21" ht="36.6" thickBot="1" x14ac:dyDescent="0.35">
      <c r="A122" s="40" t="s">
        <v>2570</v>
      </c>
      <c r="B122" s="23" t="s">
        <v>2571</v>
      </c>
      <c r="C122" s="39">
        <v>0</v>
      </c>
      <c r="D122" s="39">
        <v>0.35499999999999998</v>
      </c>
      <c r="E122" s="39">
        <f t="shared" si="1"/>
        <v>0.35499999999999998</v>
      </c>
      <c r="F122" s="3">
        <f>ROUND((E122*5*1000*1.25),0)</f>
        <v>2219</v>
      </c>
      <c r="G122" s="3" t="s">
        <v>51</v>
      </c>
      <c r="H122" s="27"/>
      <c r="I122" s="27"/>
      <c r="J122" s="27"/>
      <c r="K122" s="27"/>
      <c r="L122" s="27"/>
      <c r="M122" s="27"/>
      <c r="N122" s="27"/>
      <c r="O122" s="27"/>
      <c r="P122" s="3">
        <v>354</v>
      </c>
      <c r="Q122" s="4">
        <v>236</v>
      </c>
      <c r="R122" s="3">
        <v>70010011266</v>
      </c>
      <c r="S122" s="27" t="s">
        <v>2484</v>
      </c>
      <c r="T122" s="3" t="s">
        <v>2485</v>
      </c>
      <c r="U122" s="5"/>
    </row>
    <row r="123" spans="1:21" ht="36.6" thickBot="1" x14ac:dyDescent="0.35">
      <c r="A123" s="40" t="s">
        <v>2572</v>
      </c>
      <c r="B123" s="23" t="s">
        <v>2573</v>
      </c>
      <c r="C123" s="39">
        <v>0</v>
      </c>
      <c r="D123" s="39">
        <v>0.59199999999999997</v>
      </c>
      <c r="E123" s="39">
        <f>D123-C123</f>
        <v>0.59199999999999997</v>
      </c>
      <c r="F123" s="3">
        <f>ROUND((E123*4.9*1000*1.25),0)</f>
        <v>3626</v>
      </c>
      <c r="G123" s="3" t="s">
        <v>51</v>
      </c>
      <c r="H123" s="27"/>
      <c r="I123" s="27"/>
      <c r="J123" s="27"/>
      <c r="K123" s="27"/>
      <c r="L123" s="27"/>
      <c r="M123" s="27"/>
      <c r="N123" s="27"/>
      <c r="O123" s="27"/>
      <c r="P123" s="3"/>
      <c r="Q123" s="4"/>
      <c r="R123" s="3">
        <v>70010011270</v>
      </c>
      <c r="S123" s="27" t="s">
        <v>2484</v>
      </c>
      <c r="T123" s="3" t="s">
        <v>2485</v>
      </c>
      <c r="U123" s="5"/>
    </row>
    <row r="124" spans="1:21" x14ac:dyDescent="0.3">
      <c r="A124" s="643" t="s">
        <v>2574</v>
      </c>
      <c r="B124" s="607" t="s">
        <v>2575</v>
      </c>
      <c r="C124" s="36">
        <v>0</v>
      </c>
      <c r="D124" s="36">
        <v>0.25600000000000001</v>
      </c>
      <c r="E124" s="649">
        <v>0.314</v>
      </c>
      <c r="F124" s="641">
        <f>ROUND((D124*4.5*1000*1.25+(D125*4)),0)</f>
        <v>1441</v>
      </c>
      <c r="G124" s="641" t="s">
        <v>51</v>
      </c>
      <c r="H124" s="34"/>
      <c r="I124" s="34"/>
      <c r="J124" s="34"/>
      <c r="K124" s="34"/>
      <c r="L124" s="34"/>
      <c r="M124" s="34"/>
      <c r="N124" s="34"/>
      <c r="O124" s="34"/>
      <c r="P124" s="33"/>
      <c r="Q124" s="44"/>
      <c r="R124" s="33">
        <v>70010011269</v>
      </c>
      <c r="S124" s="640" t="s">
        <v>2484</v>
      </c>
      <c r="T124" s="641" t="s">
        <v>2485</v>
      </c>
      <c r="U124" s="642" t="s">
        <v>67</v>
      </c>
    </row>
    <row r="125" spans="1:21" ht="15" thickBot="1" x14ac:dyDescent="0.35">
      <c r="A125" s="644"/>
      <c r="B125" s="609"/>
      <c r="C125" s="38">
        <v>0.25600000000000001</v>
      </c>
      <c r="D125" s="38">
        <v>0.314</v>
      </c>
      <c r="E125" s="650"/>
      <c r="F125" s="634"/>
      <c r="G125" s="634"/>
      <c r="H125" s="19"/>
      <c r="I125" s="19"/>
      <c r="J125" s="19"/>
      <c r="K125" s="19"/>
      <c r="L125" s="19"/>
      <c r="M125" s="19"/>
      <c r="N125" s="19"/>
      <c r="O125" s="19"/>
      <c r="P125" s="87"/>
      <c r="Q125" s="47"/>
      <c r="R125" s="20">
        <v>70010011467</v>
      </c>
      <c r="S125" s="631"/>
      <c r="T125" s="634"/>
      <c r="U125" s="637"/>
    </row>
    <row r="126" spans="1:21" ht="36.6" thickBot="1" x14ac:dyDescent="0.35">
      <c r="A126" s="40" t="s">
        <v>2576</v>
      </c>
      <c r="B126" s="23" t="s">
        <v>2577</v>
      </c>
      <c r="C126" s="39">
        <v>0</v>
      </c>
      <c r="D126" s="39">
        <v>0.14199999999999999</v>
      </c>
      <c r="E126" s="39">
        <f t="shared" ref="E126:E174" si="2">D126-C126</f>
        <v>0.14199999999999999</v>
      </c>
      <c r="F126" s="3">
        <v>577</v>
      </c>
      <c r="G126" s="3" t="s">
        <v>51</v>
      </c>
      <c r="H126" s="27"/>
      <c r="I126" s="27"/>
      <c r="J126" s="27"/>
      <c r="K126" s="27"/>
      <c r="L126" s="27"/>
      <c r="M126" s="27"/>
      <c r="N126" s="27"/>
      <c r="O126" s="27"/>
      <c r="P126" s="3"/>
      <c r="Q126" s="4"/>
      <c r="R126" s="3">
        <v>70010011271</v>
      </c>
      <c r="S126" s="27" t="s">
        <v>2484</v>
      </c>
      <c r="T126" s="3" t="s">
        <v>2485</v>
      </c>
      <c r="U126" s="5"/>
    </row>
    <row r="127" spans="1:21" ht="36.6" thickBot="1" x14ac:dyDescent="0.35">
      <c r="A127" s="40" t="s">
        <v>2578</v>
      </c>
      <c r="B127" s="23" t="s">
        <v>2579</v>
      </c>
      <c r="C127" s="39">
        <v>0</v>
      </c>
      <c r="D127" s="39">
        <v>0.192</v>
      </c>
      <c r="E127" s="39">
        <f t="shared" si="2"/>
        <v>0.192</v>
      </c>
      <c r="F127" s="3">
        <f>ROUND((E127*4.8*1.2*1000),0)</f>
        <v>1106</v>
      </c>
      <c r="G127" s="3" t="s">
        <v>51</v>
      </c>
      <c r="H127" s="27"/>
      <c r="I127" s="27"/>
      <c r="J127" s="27"/>
      <c r="K127" s="27"/>
      <c r="L127" s="27"/>
      <c r="M127" s="27"/>
      <c r="N127" s="27"/>
      <c r="O127" s="27"/>
      <c r="P127" s="3"/>
      <c r="Q127" s="4"/>
      <c r="R127" s="3">
        <v>70010011273</v>
      </c>
      <c r="S127" s="27" t="s">
        <v>2484</v>
      </c>
      <c r="T127" s="3" t="s">
        <v>2485</v>
      </c>
      <c r="U127" s="5"/>
    </row>
    <row r="128" spans="1:21" ht="41.25" customHeight="1" thickBot="1" x14ac:dyDescent="0.35">
      <c r="A128" s="40" t="s">
        <v>2580</v>
      </c>
      <c r="B128" s="23" t="s">
        <v>46</v>
      </c>
      <c r="C128" s="39">
        <v>0</v>
      </c>
      <c r="D128" s="39">
        <v>0.45700000000000002</v>
      </c>
      <c r="E128" s="39">
        <f t="shared" si="2"/>
        <v>0.45700000000000002</v>
      </c>
      <c r="F128" s="3">
        <f>ROUND((E128*4.5*1000*1.2),0)</f>
        <v>2468</v>
      </c>
      <c r="G128" s="3" t="s">
        <v>51</v>
      </c>
      <c r="H128" s="27"/>
      <c r="I128" s="27"/>
      <c r="J128" s="27"/>
      <c r="K128" s="27"/>
      <c r="L128" s="27"/>
      <c r="M128" s="27"/>
      <c r="N128" s="27"/>
      <c r="O128" s="27"/>
      <c r="P128" s="3"/>
      <c r="Q128" s="4"/>
      <c r="R128" s="3">
        <v>70010011272</v>
      </c>
      <c r="S128" s="27" t="s">
        <v>2484</v>
      </c>
      <c r="T128" s="3" t="s">
        <v>2485</v>
      </c>
      <c r="U128" s="5"/>
    </row>
    <row r="129" spans="1:21" x14ac:dyDescent="0.3">
      <c r="A129" s="643" t="s">
        <v>2581</v>
      </c>
      <c r="B129" s="607" t="s">
        <v>2455</v>
      </c>
      <c r="C129" s="36">
        <v>0</v>
      </c>
      <c r="D129" s="36">
        <v>0.14299999999999999</v>
      </c>
      <c r="E129" s="649">
        <v>0.33200000000000002</v>
      </c>
      <c r="F129" s="641">
        <v>2194</v>
      </c>
      <c r="G129" s="641" t="s">
        <v>51</v>
      </c>
      <c r="H129" s="34"/>
      <c r="I129" s="34"/>
      <c r="J129" s="34"/>
      <c r="K129" s="34"/>
      <c r="L129" s="34"/>
      <c r="M129" s="34"/>
      <c r="N129" s="34"/>
      <c r="O129" s="34"/>
      <c r="P129" s="33"/>
      <c r="Q129" s="44"/>
      <c r="R129" s="33">
        <v>70010011274</v>
      </c>
      <c r="S129" s="640" t="s">
        <v>2484</v>
      </c>
      <c r="T129" s="641" t="s">
        <v>2485</v>
      </c>
      <c r="U129" s="642" t="s">
        <v>67</v>
      </c>
    </row>
    <row r="130" spans="1:21" x14ac:dyDescent="0.3">
      <c r="A130" s="742"/>
      <c r="B130" s="608"/>
      <c r="C130" s="37">
        <v>0.14299999999999999</v>
      </c>
      <c r="D130" s="37">
        <v>0.105</v>
      </c>
      <c r="E130" s="653"/>
      <c r="F130" s="633"/>
      <c r="G130" s="633"/>
      <c r="H130" s="13"/>
      <c r="I130" s="13"/>
      <c r="J130" s="13"/>
      <c r="K130" s="13"/>
      <c r="L130" s="13"/>
      <c r="M130" s="13"/>
      <c r="N130" s="13"/>
      <c r="O130" s="13"/>
      <c r="P130" s="14"/>
      <c r="Q130" s="49"/>
      <c r="R130" s="14">
        <v>70010011403</v>
      </c>
      <c r="S130" s="621"/>
      <c r="T130" s="633"/>
      <c r="U130" s="636"/>
    </row>
    <row r="131" spans="1:21" ht="15" thickBot="1" x14ac:dyDescent="0.35">
      <c r="A131" s="644"/>
      <c r="B131" s="609"/>
      <c r="C131" s="38">
        <v>0.105</v>
      </c>
      <c r="D131" s="38">
        <v>0.33200000000000002</v>
      </c>
      <c r="E131" s="650"/>
      <c r="F131" s="634"/>
      <c r="G131" s="634"/>
      <c r="H131" s="19"/>
      <c r="I131" s="19"/>
      <c r="J131" s="19"/>
      <c r="K131" s="19"/>
      <c r="L131" s="19"/>
      <c r="M131" s="19"/>
      <c r="N131" s="19"/>
      <c r="O131" s="19"/>
      <c r="P131" s="20"/>
      <c r="Q131" s="47"/>
      <c r="R131" s="20">
        <v>70010012058</v>
      </c>
      <c r="S131" s="631"/>
      <c r="T131" s="634"/>
      <c r="U131" s="637"/>
    </row>
    <row r="132" spans="1:21" ht="36.6" thickBot="1" x14ac:dyDescent="0.35">
      <c r="A132" s="40" t="s">
        <v>2582</v>
      </c>
      <c r="B132" s="23" t="s">
        <v>2583</v>
      </c>
      <c r="C132" s="39">
        <v>0</v>
      </c>
      <c r="D132" s="39">
        <v>0.39200000000000002</v>
      </c>
      <c r="E132" s="39">
        <f>D132-C132</f>
        <v>0.39200000000000002</v>
      </c>
      <c r="F132" s="3">
        <f>ROUND((E132*4.5*1000*1.2),0)</f>
        <v>2117</v>
      </c>
      <c r="G132" s="3" t="s">
        <v>51</v>
      </c>
      <c r="H132" s="27"/>
      <c r="I132" s="27"/>
      <c r="J132" s="27"/>
      <c r="K132" s="27"/>
      <c r="L132" s="27"/>
      <c r="M132" s="27"/>
      <c r="N132" s="27"/>
      <c r="O132" s="27"/>
      <c r="P132" s="3"/>
      <c r="Q132" s="4"/>
      <c r="R132" s="3">
        <v>70010011275</v>
      </c>
      <c r="S132" s="27" t="s">
        <v>2484</v>
      </c>
      <c r="T132" s="3" t="s">
        <v>2485</v>
      </c>
      <c r="U132" s="5"/>
    </row>
    <row r="133" spans="1:21" x14ac:dyDescent="0.3">
      <c r="A133" s="643" t="s">
        <v>2584</v>
      </c>
      <c r="B133" s="607" t="s">
        <v>927</v>
      </c>
      <c r="C133" s="36">
        <v>0</v>
      </c>
      <c r="D133" s="36">
        <v>0.41599999999999998</v>
      </c>
      <c r="E133" s="649">
        <v>0.54100000000000004</v>
      </c>
      <c r="F133" s="641">
        <f>ROUND((D133*5.3*1000*1.25),0)+603</f>
        <v>3359</v>
      </c>
      <c r="G133" s="641" t="s">
        <v>51</v>
      </c>
      <c r="H133" s="34"/>
      <c r="I133" s="34"/>
      <c r="J133" s="34"/>
      <c r="K133" s="34"/>
      <c r="L133" s="34"/>
      <c r="M133" s="34"/>
      <c r="N133" s="34"/>
      <c r="O133" s="34"/>
      <c r="P133" s="641">
        <v>244</v>
      </c>
      <c r="Q133" s="647">
        <v>136</v>
      </c>
      <c r="R133" s="33">
        <v>70010011277</v>
      </c>
      <c r="S133" s="640" t="s">
        <v>2484</v>
      </c>
      <c r="T133" s="641" t="s">
        <v>2485</v>
      </c>
      <c r="U133" s="642" t="s">
        <v>67</v>
      </c>
    </row>
    <row r="134" spans="1:21" x14ac:dyDescent="0.3">
      <c r="A134" s="742"/>
      <c r="B134" s="608"/>
      <c r="C134" s="37">
        <v>0.41599999999999998</v>
      </c>
      <c r="D134" s="37">
        <v>0.495</v>
      </c>
      <c r="E134" s="653"/>
      <c r="F134" s="633"/>
      <c r="G134" s="633"/>
      <c r="H134" s="13"/>
      <c r="I134" s="13"/>
      <c r="J134" s="13"/>
      <c r="K134" s="13"/>
      <c r="L134" s="13"/>
      <c r="M134" s="13"/>
      <c r="N134" s="13"/>
      <c r="O134" s="13"/>
      <c r="P134" s="633"/>
      <c r="Q134" s="655"/>
      <c r="R134" s="14">
        <v>70010011757</v>
      </c>
      <c r="S134" s="621"/>
      <c r="T134" s="633"/>
      <c r="U134" s="636"/>
    </row>
    <row r="135" spans="1:21" x14ac:dyDescent="0.3">
      <c r="A135" s="742"/>
      <c r="B135" s="608"/>
      <c r="C135" s="653">
        <v>0.495</v>
      </c>
      <c r="D135" s="653">
        <v>0.54100000000000004</v>
      </c>
      <c r="E135" s="653"/>
      <c r="F135" s="633"/>
      <c r="G135" s="633"/>
      <c r="H135" s="13"/>
      <c r="I135" s="13"/>
      <c r="J135" s="13"/>
      <c r="K135" s="13"/>
      <c r="L135" s="13"/>
      <c r="M135" s="13"/>
      <c r="N135" s="13"/>
      <c r="O135" s="13"/>
      <c r="P135" s="633"/>
      <c r="Q135" s="655"/>
      <c r="R135" s="14">
        <v>70010010705</v>
      </c>
      <c r="S135" s="621"/>
      <c r="T135" s="633"/>
      <c r="U135" s="636"/>
    </row>
    <row r="136" spans="1:21" ht="15" thickBot="1" x14ac:dyDescent="0.35">
      <c r="A136" s="644"/>
      <c r="B136" s="609"/>
      <c r="C136" s="650"/>
      <c r="D136" s="650"/>
      <c r="E136" s="650"/>
      <c r="F136" s="634"/>
      <c r="G136" s="634"/>
      <c r="H136" s="19"/>
      <c r="I136" s="19"/>
      <c r="J136" s="19"/>
      <c r="K136" s="19"/>
      <c r="L136" s="19"/>
      <c r="M136" s="19"/>
      <c r="N136" s="19"/>
      <c r="O136" s="19"/>
      <c r="P136" s="634"/>
      <c r="Q136" s="648"/>
      <c r="R136" s="20">
        <v>70010012108</v>
      </c>
      <c r="S136" s="631"/>
      <c r="T136" s="634"/>
      <c r="U136" s="637"/>
    </row>
    <row r="137" spans="1:21" x14ac:dyDescent="0.3">
      <c r="A137" s="643" t="s">
        <v>2585</v>
      </c>
      <c r="B137" s="607" t="s">
        <v>2586</v>
      </c>
      <c r="C137" s="36">
        <v>0</v>
      </c>
      <c r="D137" s="36">
        <v>0.34300000000000003</v>
      </c>
      <c r="E137" s="649">
        <v>0.53400000000000003</v>
      </c>
      <c r="F137" s="641">
        <f>2281</f>
        <v>2281</v>
      </c>
      <c r="G137" s="641" t="s">
        <v>51</v>
      </c>
      <c r="H137" s="34"/>
      <c r="I137" s="34"/>
      <c r="J137" s="34"/>
      <c r="K137" s="34"/>
      <c r="L137" s="34"/>
      <c r="M137" s="34"/>
      <c r="N137" s="34"/>
      <c r="O137" s="34"/>
      <c r="P137" s="641">
        <v>52</v>
      </c>
      <c r="Q137" s="647">
        <v>35</v>
      </c>
      <c r="R137" s="33">
        <v>70010011278</v>
      </c>
      <c r="S137" s="640" t="s">
        <v>2484</v>
      </c>
      <c r="T137" s="641" t="s">
        <v>2485</v>
      </c>
      <c r="U137" s="642" t="s">
        <v>67</v>
      </c>
    </row>
    <row r="138" spans="1:21" x14ac:dyDescent="0.3">
      <c r="A138" s="742"/>
      <c r="B138" s="608"/>
      <c r="C138" s="37">
        <v>0.34300000000000003</v>
      </c>
      <c r="D138" s="37">
        <v>0.41499999999999998</v>
      </c>
      <c r="E138" s="653"/>
      <c r="F138" s="633"/>
      <c r="G138" s="633"/>
      <c r="H138" s="13"/>
      <c r="I138" s="13"/>
      <c r="J138" s="13"/>
      <c r="K138" s="13"/>
      <c r="L138" s="13"/>
      <c r="M138" s="13"/>
      <c r="N138" s="13"/>
      <c r="O138" s="13"/>
      <c r="P138" s="633"/>
      <c r="Q138" s="655"/>
      <c r="R138" s="14">
        <v>70010011526</v>
      </c>
      <c r="S138" s="621"/>
      <c r="T138" s="633"/>
      <c r="U138" s="636"/>
    </row>
    <row r="139" spans="1:21" x14ac:dyDescent="0.3">
      <c r="A139" s="742"/>
      <c r="B139" s="608"/>
      <c r="C139" s="37">
        <v>0.41499999999999998</v>
      </c>
      <c r="D139" s="37">
        <v>0.45300000000000001</v>
      </c>
      <c r="E139" s="653"/>
      <c r="F139" s="633">
        <f>327+171</f>
        <v>498</v>
      </c>
      <c r="G139" s="633" t="s">
        <v>32</v>
      </c>
      <c r="H139" s="13"/>
      <c r="I139" s="13"/>
      <c r="J139" s="13"/>
      <c r="K139" s="13"/>
      <c r="L139" s="13"/>
      <c r="M139" s="13"/>
      <c r="N139" s="13"/>
      <c r="O139" s="13"/>
      <c r="P139" s="633"/>
      <c r="Q139" s="655"/>
      <c r="R139" s="14">
        <v>70010010003</v>
      </c>
      <c r="S139" s="621"/>
      <c r="T139" s="633"/>
      <c r="U139" s="636"/>
    </row>
    <row r="140" spans="1:21" ht="15" thickBot="1" x14ac:dyDescent="0.35">
      <c r="A140" s="644"/>
      <c r="B140" s="609"/>
      <c r="C140" s="38">
        <v>0.45300000000000001</v>
      </c>
      <c r="D140" s="38">
        <v>0.53400000000000003</v>
      </c>
      <c r="E140" s="650"/>
      <c r="F140" s="634"/>
      <c r="G140" s="634"/>
      <c r="H140" s="19"/>
      <c r="I140" s="19"/>
      <c r="J140" s="19"/>
      <c r="K140" s="19"/>
      <c r="L140" s="19"/>
      <c r="M140" s="19"/>
      <c r="N140" s="19"/>
      <c r="O140" s="19"/>
      <c r="P140" s="634"/>
      <c r="Q140" s="648"/>
      <c r="R140" s="20">
        <v>70010011487</v>
      </c>
      <c r="S140" s="631"/>
      <c r="T140" s="634"/>
      <c r="U140" s="637"/>
    </row>
    <row r="141" spans="1:21" ht="36.6" thickBot="1" x14ac:dyDescent="0.35">
      <c r="A141" s="40" t="s">
        <v>2587</v>
      </c>
      <c r="B141" s="23" t="s">
        <v>2588</v>
      </c>
      <c r="C141" s="39">
        <v>0</v>
      </c>
      <c r="D141" s="39">
        <v>0.27800000000000002</v>
      </c>
      <c r="E141" s="39">
        <f t="shared" si="2"/>
        <v>0.27800000000000002</v>
      </c>
      <c r="F141" s="3">
        <f>2048</f>
        <v>2048</v>
      </c>
      <c r="G141" s="3" t="s">
        <v>51</v>
      </c>
      <c r="H141" s="27"/>
      <c r="I141" s="27"/>
      <c r="J141" s="27"/>
      <c r="K141" s="27"/>
      <c r="L141" s="27"/>
      <c r="M141" s="27"/>
      <c r="N141" s="27"/>
      <c r="O141" s="27"/>
      <c r="P141" s="3"/>
      <c r="Q141" s="4"/>
      <c r="R141" s="3">
        <v>70010011306</v>
      </c>
      <c r="S141" s="27" t="s">
        <v>2484</v>
      </c>
      <c r="T141" s="3" t="s">
        <v>2485</v>
      </c>
      <c r="U141" s="5"/>
    </row>
    <row r="142" spans="1:21" x14ac:dyDescent="0.3">
      <c r="A142" s="643" t="s">
        <v>2589</v>
      </c>
      <c r="B142" s="607" t="s">
        <v>263</v>
      </c>
      <c r="C142" s="36">
        <v>0</v>
      </c>
      <c r="D142" s="36">
        <v>5.8999999999999997E-2</v>
      </c>
      <c r="E142" s="649">
        <f>D144-C142</f>
        <v>0.26400000000000001</v>
      </c>
      <c r="F142" s="641">
        <f>337+103</f>
        <v>440</v>
      </c>
      <c r="G142" s="641" t="s">
        <v>51</v>
      </c>
      <c r="H142" s="34"/>
      <c r="I142" s="34"/>
      <c r="J142" s="34"/>
      <c r="K142" s="34"/>
      <c r="L142" s="34"/>
      <c r="M142" s="34"/>
      <c r="N142" s="34"/>
      <c r="O142" s="34"/>
      <c r="P142" s="641"/>
      <c r="Q142" s="44"/>
      <c r="R142" s="33">
        <v>70010011279</v>
      </c>
      <c r="S142" s="640" t="s">
        <v>2484</v>
      </c>
      <c r="T142" s="641" t="s">
        <v>2485</v>
      </c>
      <c r="U142" s="642"/>
    </row>
    <row r="143" spans="1:21" x14ac:dyDescent="0.3">
      <c r="A143" s="742"/>
      <c r="B143" s="608"/>
      <c r="C143" s="37">
        <v>5.8999999999999997E-2</v>
      </c>
      <c r="D143" s="37">
        <v>8.5000000000000006E-2</v>
      </c>
      <c r="E143" s="653"/>
      <c r="F143" s="633"/>
      <c r="G143" s="633"/>
      <c r="H143" s="13"/>
      <c r="I143" s="13"/>
      <c r="J143" s="13"/>
      <c r="K143" s="13"/>
      <c r="L143" s="13"/>
      <c r="M143" s="13"/>
      <c r="N143" s="13"/>
      <c r="O143" s="13"/>
      <c r="P143" s="633"/>
      <c r="Q143" s="49"/>
      <c r="R143" s="14">
        <v>70010011644</v>
      </c>
      <c r="S143" s="621"/>
      <c r="T143" s="633"/>
      <c r="U143" s="636"/>
    </row>
    <row r="144" spans="1:21" ht="15" thickBot="1" x14ac:dyDescent="0.35">
      <c r="A144" s="644"/>
      <c r="B144" s="609"/>
      <c r="C144" s="38">
        <v>8.5000000000000006E-2</v>
      </c>
      <c r="D144" s="38">
        <v>0.26400000000000001</v>
      </c>
      <c r="E144" s="650"/>
      <c r="F144" s="20">
        <f>ROUND(((D144-C144)*3*1000),0)</f>
        <v>537</v>
      </c>
      <c r="G144" s="20" t="s">
        <v>32</v>
      </c>
      <c r="H144" s="19"/>
      <c r="I144" s="19"/>
      <c r="J144" s="19"/>
      <c r="K144" s="19"/>
      <c r="L144" s="19"/>
      <c r="M144" s="19"/>
      <c r="N144" s="19"/>
      <c r="O144" s="19"/>
      <c r="P144" s="634"/>
      <c r="Q144" s="47"/>
      <c r="R144" s="20">
        <v>70010011644</v>
      </c>
      <c r="S144" s="631"/>
      <c r="T144" s="634"/>
      <c r="U144" s="637"/>
    </row>
    <row r="145" spans="1:21" x14ac:dyDescent="0.3">
      <c r="A145" s="643" t="s">
        <v>2590</v>
      </c>
      <c r="B145" s="607" t="s">
        <v>1131</v>
      </c>
      <c r="C145" s="36">
        <v>0</v>
      </c>
      <c r="D145" s="36">
        <v>0.16</v>
      </c>
      <c r="E145" s="649">
        <v>0.44700000000000001</v>
      </c>
      <c r="F145" s="641">
        <f>ROUND(((D145*4.6*1000)+1919),0)</f>
        <v>2655</v>
      </c>
      <c r="G145" s="641" t="s">
        <v>51</v>
      </c>
      <c r="H145" s="34"/>
      <c r="I145" s="34"/>
      <c r="J145" s="34"/>
      <c r="K145" s="34"/>
      <c r="L145" s="34"/>
      <c r="M145" s="34"/>
      <c r="N145" s="34"/>
      <c r="O145" s="34"/>
      <c r="P145" s="33"/>
      <c r="Q145" s="44"/>
      <c r="R145" s="33">
        <v>70010012163</v>
      </c>
      <c r="S145" s="640" t="s">
        <v>2484</v>
      </c>
      <c r="T145" s="641" t="s">
        <v>2485</v>
      </c>
      <c r="U145" s="642"/>
    </row>
    <row r="146" spans="1:21" ht="15" thickBot="1" x14ac:dyDescent="0.35">
      <c r="A146" s="644"/>
      <c r="B146" s="609"/>
      <c r="C146" s="38">
        <v>0.16</v>
      </c>
      <c r="D146" s="38">
        <v>0.44700000000000001</v>
      </c>
      <c r="E146" s="650"/>
      <c r="F146" s="634"/>
      <c r="G146" s="634"/>
      <c r="H146" s="19"/>
      <c r="I146" s="19"/>
      <c r="J146" s="19"/>
      <c r="K146" s="19"/>
      <c r="L146" s="19"/>
      <c r="M146" s="19"/>
      <c r="N146" s="19"/>
      <c r="O146" s="19"/>
      <c r="P146" s="20"/>
      <c r="Q146" s="47"/>
      <c r="R146" s="20">
        <v>70010011281</v>
      </c>
      <c r="S146" s="631"/>
      <c r="T146" s="634"/>
      <c r="U146" s="637"/>
    </row>
    <row r="147" spans="1:21" x14ac:dyDescent="0.3">
      <c r="A147" s="643" t="s">
        <v>2591</v>
      </c>
      <c r="B147" s="607" t="s">
        <v>1158</v>
      </c>
      <c r="C147" s="36">
        <v>0</v>
      </c>
      <c r="D147" s="36">
        <v>0.19500000000000001</v>
      </c>
      <c r="E147" s="649">
        <v>0.23100000000000001</v>
      </c>
      <c r="F147" s="33">
        <f>ROUND((D147*3.5*1000),0)</f>
        <v>683</v>
      </c>
      <c r="G147" s="33" t="s">
        <v>32</v>
      </c>
      <c r="H147" s="34"/>
      <c r="I147" s="34"/>
      <c r="J147" s="34"/>
      <c r="K147" s="34"/>
      <c r="L147" s="34"/>
      <c r="M147" s="34"/>
      <c r="N147" s="34"/>
      <c r="O147" s="34"/>
      <c r="P147" s="33"/>
      <c r="Q147" s="44"/>
      <c r="R147" s="641">
        <v>70010011282</v>
      </c>
      <c r="S147" s="640" t="s">
        <v>2484</v>
      </c>
      <c r="T147" s="641" t="s">
        <v>2485</v>
      </c>
      <c r="U147" s="642"/>
    </row>
    <row r="148" spans="1:21" ht="15" thickBot="1" x14ac:dyDescent="0.35">
      <c r="A148" s="644"/>
      <c r="B148" s="609"/>
      <c r="C148" s="38">
        <v>0.19500000000000001</v>
      </c>
      <c r="D148" s="38">
        <v>0.23100000000000001</v>
      </c>
      <c r="E148" s="650"/>
      <c r="F148" s="20">
        <f>ROUND(((D148-C148)*3.5*1000),0)</f>
        <v>126</v>
      </c>
      <c r="G148" s="20" t="s">
        <v>51</v>
      </c>
      <c r="H148" s="19"/>
      <c r="I148" s="19"/>
      <c r="J148" s="19"/>
      <c r="K148" s="19"/>
      <c r="L148" s="19"/>
      <c r="M148" s="19"/>
      <c r="N148" s="19"/>
      <c r="O148" s="19"/>
      <c r="P148" s="20"/>
      <c r="Q148" s="47"/>
      <c r="R148" s="634"/>
      <c r="S148" s="631"/>
      <c r="T148" s="634"/>
      <c r="U148" s="637"/>
    </row>
    <row r="149" spans="1:21" x14ac:dyDescent="0.3">
      <c r="A149" s="643" t="s">
        <v>2592</v>
      </c>
      <c r="B149" s="607" t="s">
        <v>2593</v>
      </c>
      <c r="C149" s="36">
        <v>0</v>
      </c>
      <c r="D149" s="36">
        <v>6.2E-2</v>
      </c>
      <c r="E149" s="649">
        <v>0.20100000000000001</v>
      </c>
      <c r="F149" s="647">
        <f>318+227+4.5*(D151-C151)</f>
        <v>545.19349999999997</v>
      </c>
      <c r="G149" s="641" t="s">
        <v>51</v>
      </c>
      <c r="H149" s="34"/>
      <c r="I149" s="34"/>
      <c r="J149" s="34"/>
      <c r="K149" s="34"/>
      <c r="L149" s="34"/>
      <c r="M149" s="34"/>
      <c r="N149" s="34"/>
      <c r="O149" s="34"/>
      <c r="P149" s="33"/>
      <c r="Q149" s="44"/>
      <c r="R149" s="33">
        <v>70010011645</v>
      </c>
      <c r="S149" s="640" t="s">
        <v>2484</v>
      </c>
      <c r="T149" s="641" t="s">
        <v>2485</v>
      </c>
      <c r="U149" s="642" t="s">
        <v>67</v>
      </c>
    </row>
    <row r="150" spans="1:21" x14ac:dyDescent="0.3">
      <c r="A150" s="742"/>
      <c r="B150" s="608"/>
      <c r="C150" s="37">
        <v>6.2E-2</v>
      </c>
      <c r="D150" s="37">
        <v>0.158</v>
      </c>
      <c r="E150" s="653"/>
      <c r="F150" s="655"/>
      <c r="G150" s="633"/>
      <c r="H150" s="13"/>
      <c r="I150" s="13"/>
      <c r="J150" s="13"/>
      <c r="K150" s="13"/>
      <c r="L150" s="13"/>
      <c r="M150" s="13"/>
      <c r="N150" s="13"/>
      <c r="O150" s="13"/>
      <c r="P150" s="14"/>
      <c r="Q150" s="49"/>
      <c r="R150" s="14">
        <v>70010011284</v>
      </c>
      <c r="S150" s="621"/>
      <c r="T150" s="633"/>
      <c r="U150" s="636"/>
    </row>
    <row r="151" spans="1:21" ht="15" thickBot="1" x14ac:dyDescent="0.35">
      <c r="A151" s="644"/>
      <c r="B151" s="609"/>
      <c r="C151" s="38">
        <v>0.158</v>
      </c>
      <c r="D151" s="38">
        <v>0.20100000000000001</v>
      </c>
      <c r="E151" s="650"/>
      <c r="F151" s="648"/>
      <c r="G151" s="634"/>
      <c r="H151" s="19"/>
      <c r="I151" s="19"/>
      <c r="J151" s="19"/>
      <c r="K151" s="19"/>
      <c r="L151" s="19"/>
      <c r="M151" s="19"/>
      <c r="N151" s="19"/>
      <c r="O151" s="19"/>
      <c r="P151" s="20"/>
      <c r="Q151" s="47"/>
      <c r="R151" s="20">
        <v>70010011467</v>
      </c>
      <c r="S151" s="631"/>
      <c r="T151" s="634"/>
      <c r="U151" s="637"/>
    </row>
    <row r="152" spans="1:21" ht="36.6" thickBot="1" x14ac:dyDescent="0.35">
      <c r="A152" s="40" t="s">
        <v>2594</v>
      </c>
      <c r="B152" s="23" t="s">
        <v>2595</v>
      </c>
      <c r="C152" s="39">
        <v>0</v>
      </c>
      <c r="D152" s="39">
        <v>0.20300000000000001</v>
      </c>
      <c r="E152" s="39">
        <f t="shared" si="2"/>
        <v>0.20300000000000001</v>
      </c>
      <c r="F152" s="3">
        <f>ROUND((E152*3*1000),0)</f>
        <v>609</v>
      </c>
      <c r="G152" s="3" t="s">
        <v>32</v>
      </c>
      <c r="H152" s="27"/>
      <c r="I152" s="27"/>
      <c r="J152" s="27"/>
      <c r="K152" s="27"/>
      <c r="L152" s="27"/>
      <c r="M152" s="27"/>
      <c r="N152" s="27"/>
      <c r="O152" s="27"/>
      <c r="P152" s="3"/>
      <c r="Q152" s="4"/>
      <c r="R152" s="3">
        <v>70010011831</v>
      </c>
      <c r="S152" s="27" t="s">
        <v>2484</v>
      </c>
      <c r="T152" s="3" t="s">
        <v>2485</v>
      </c>
      <c r="U152" s="5"/>
    </row>
    <row r="153" spans="1:21" x14ac:dyDescent="0.3">
      <c r="A153" s="643" t="s">
        <v>2596</v>
      </c>
      <c r="B153" s="607" t="s">
        <v>2597</v>
      </c>
      <c r="C153" s="36">
        <v>0</v>
      </c>
      <c r="D153" s="36">
        <v>0.108</v>
      </c>
      <c r="E153" s="649">
        <v>0.19400000000000001</v>
      </c>
      <c r="F153" s="641">
        <f>1055</f>
        <v>1055</v>
      </c>
      <c r="G153" s="641" t="s">
        <v>51</v>
      </c>
      <c r="H153" s="34"/>
      <c r="I153" s="34"/>
      <c r="J153" s="34"/>
      <c r="K153" s="34"/>
      <c r="L153" s="34"/>
      <c r="M153" s="34"/>
      <c r="N153" s="34"/>
      <c r="O153" s="34"/>
      <c r="P153" s="33"/>
      <c r="Q153" s="44"/>
      <c r="R153" s="33">
        <v>70010011290</v>
      </c>
      <c r="S153" s="640" t="s">
        <v>2484</v>
      </c>
      <c r="T153" s="641" t="s">
        <v>2485</v>
      </c>
      <c r="U153" s="642"/>
    </row>
    <row r="154" spans="1:21" x14ac:dyDescent="0.3">
      <c r="A154" s="742"/>
      <c r="B154" s="608"/>
      <c r="C154" s="37">
        <v>0.108</v>
      </c>
      <c r="D154" s="37">
        <v>0.17599999999999999</v>
      </c>
      <c r="E154" s="653"/>
      <c r="F154" s="633"/>
      <c r="G154" s="633"/>
      <c r="H154" s="13"/>
      <c r="I154" s="13"/>
      <c r="J154" s="13"/>
      <c r="K154" s="13"/>
      <c r="L154" s="13"/>
      <c r="M154" s="13"/>
      <c r="N154" s="13"/>
      <c r="O154" s="13"/>
      <c r="P154" s="14"/>
      <c r="Q154" s="49"/>
      <c r="R154" s="14">
        <v>70010011290</v>
      </c>
      <c r="S154" s="621"/>
      <c r="T154" s="633"/>
      <c r="U154" s="636"/>
    </row>
    <row r="155" spans="1:21" ht="15" thickBot="1" x14ac:dyDescent="0.35">
      <c r="A155" s="644"/>
      <c r="B155" s="609"/>
      <c r="C155" s="38">
        <v>0.17599999999999999</v>
      </c>
      <c r="D155" s="38">
        <v>0.19400000000000001</v>
      </c>
      <c r="E155" s="650"/>
      <c r="F155" s="634"/>
      <c r="G155" s="634"/>
      <c r="H155" s="19"/>
      <c r="I155" s="19"/>
      <c r="J155" s="19"/>
      <c r="K155" s="19"/>
      <c r="L155" s="19"/>
      <c r="M155" s="19"/>
      <c r="N155" s="19"/>
      <c r="O155" s="19"/>
      <c r="P155" s="20"/>
      <c r="Q155" s="47"/>
      <c r="R155" s="20">
        <v>70010011402</v>
      </c>
      <c r="S155" s="631"/>
      <c r="T155" s="634"/>
      <c r="U155" s="637"/>
    </row>
    <row r="156" spans="1:21" ht="36.6" thickBot="1" x14ac:dyDescent="0.35">
      <c r="A156" s="40" t="s">
        <v>2598</v>
      </c>
      <c r="B156" s="23" t="s">
        <v>2599</v>
      </c>
      <c r="C156" s="39">
        <v>0</v>
      </c>
      <c r="D156" s="39">
        <v>0.26500000000000001</v>
      </c>
      <c r="E156" s="39">
        <f t="shared" si="2"/>
        <v>0.26500000000000001</v>
      </c>
      <c r="F156" s="3">
        <f>1045</f>
        <v>1045</v>
      </c>
      <c r="G156" s="3" t="s">
        <v>32</v>
      </c>
      <c r="H156" s="27"/>
      <c r="I156" s="27"/>
      <c r="J156" s="27"/>
      <c r="K156" s="27"/>
      <c r="L156" s="27"/>
      <c r="M156" s="27"/>
      <c r="N156" s="27"/>
      <c r="O156" s="27"/>
      <c r="P156" s="3"/>
      <c r="Q156" s="4"/>
      <c r="R156" s="3">
        <v>70010011291</v>
      </c>
      <c r="S156" s="27" t="s">
        <v>2484</v>
      </c>
      <c r="T156" s="3" t="s">
        <v>2485</v>
      </c>
      <c r="U156" s="5"/>
    </row>
    <row r="157" spans="1:21" ht="36.6" thickBot="1" x14ac:dyDescent="0.35">
      <c r="A157" s="40" t="s">
        <v>2600</v>
      </c>
      <c r="B157" s="23" t="s">
        <v>2601</v>
      </c>
      <c r="C157" s="39">
        <v>0</v>
      </c>
      <c r="D157" s="39">
        <v>0.44900000000000001</v>
      </c>
      <c r="E157" s="39">
        <f t="shared" si="2"/>
        <v>0.44900000000000001</v>
      </c>
      <c r="F157" s="3">
        <f>ROUND((E157*6*1000),0)</f>
        <v>2694</v>
      </c>
      <c r="G157" s="3" t="s">
        <v>32</v>
      </c>
      <c r="H157" s="3"/>
      <c r="I157" s="27"/>
      <c r="J157" s="3"/>
      <c r="K157" s="27"/>
      <c r="L157" s="27"/>
      <c r="M157" s="27"/>
      <c r="N157" s="27"/>
      <c r="O157" s="27"/>
      <c r="P157" s="3"/>
      <c r="Q157" s="4"/>
      <c r="R157" s="3">
        <v>70010011768</v>
      </c>
      <c r="S157" s="27" t="s">
        <v>2484</v>
      </c>
      <c r="T157" s="3" t="s">
        <v>2485</v>
      </c>
      <c r="U157" s="5" t="s">
        <v>67</v>
      </c>
    </row>
    <row r="158" spans="1:21" ht="36.6" thickBot="1" x14ac:dyDescent="0.35">
      <c r="A158" s="40" t="s">
        <v>2602</v>
      </c>
      <c r="B158" s="23" t="s">
        <v>2603</v>
      </c>
      <c r="C158" s="39">
        <v>0</v>
      </c>
      <c r="D158" s="39">
        <v>0.50700000000000001</v>
      </c>
      <c r="E158" s="39">
        <f t="shared" si="2"/>
        <v>0.50700000000000001</v>
      </c>
      <c r="F158" s="3">
        <f>ROUND((E158*6.5*1000),0)</f>
        <v>3296</v>
      </c>
      <c r="G158" s="3" t="s">
        <v>51</v>
      </c>
      <c r="H158" s="27"/>
      <c r="I158" s="27"/>
      <c r="J158" s="27"/>
      <c r="K158" s="27"/>
      <c r="L158" s="27"/>
      <c r="M158" s="27"/>
      <c r="N158" s="27"/>
      <c r="O158" s="27"/>
      <c r="P158" s="3"/>
      <c r="Q158" s="4"/>
      <c r="R158" s="3">
        <v>70010011293</v>
      </c>
      <c r="S158" s="27" t="s">
        <v>2484</v>
      </c>
      <c r="T158" s="3" t="s">
        <v>2485</v>
      </c>
      <c r="U158" s="5"/>
    </row>
    <row r="159" spans="1:21" x14ac:dyDescent="0.3">
      <c r="A159" s="643" t="s">
        <v>2604</v>
      </c>
      <c r="B159" s="607" t="s">
        <v>2605</v>
      </c>
      <c r="C159" s="36">
        <v>0</v>
      </c>
      <c r="D159" s="36">
        <v>0.28599999999999998</v>
      </c>
      <c r="E159" s="649">
        <v>0.35299999999999998</v>
      </c>
      <c r="F159" s="641">
        <f>2055</f>
        <v>2055</v>
      </c>
      <c r="G159" s="641" t="s">
        <v>51</v>
      </c>
      <c r="H159" s="34"/>
      <c r="I159" s="34"/>
      <c r="J159" s="34"/>
      <c r="K159" s="34"/>
      <c r="L159" s="34"/>
      <c r="M159" s="34"/>
      <c r="N159" s="34"/>
      <c r="O159" s="34"/>
      <c r="P159" s="33"/>
      <c r="Q159" s="44"/>
      <c r="R159" s="641">
        <v>70010011294</v>
      </c>
      <c r="S159" s="640" t="s">
        <v>2484</v>
      </c>
      <c r="T159" s="641" t="s">
        <v>2485</v>
      </c>
      <c r="U159" s="642" t="s">
        <v>67</v>
      </c>
    </row>
    <row r="160" spans="1:21" x14ac:dyDescent="0.3">
      <c r="A160" s="742"/>
      <c r="B160" s="608"/>
      <c r="C160" s="37">
        <v>0.28599999999999998</v>
      </c>
      <c r="D160" s="37">
        <v>0.30299999999999999</v>
      </c>
      <c r="E160" s="653"/>
      <c r="F160" s="633"/>
      <c r="G160" s="633"/>
      <c r="H160" s="13"/>
      <c r="I160" s="13"/>
      <c r="J160" s="13"/>
      <c r="K160" s="13"/>
      <c r="L160" s="13"/>
      <c r="M160" s="13"/>
      <c r="N160" s="13"/>
      <c r="O160" s="13"/>
      <c r="P160" s="14"/>
      <c r="Q160" s="49"/>
      <c r="R160" s="633"/>
      <c r="S160" s="621"/>
      <c r="T160" s="633"/>
      <c r="U160" s="636"/>
    </row>
    <row r="161" spans="1:21" ht="15" thickBot="1" x14ac:dyDescent="0.35">
      <c r="A161" s="644"/>
      <c r="B161" s="609"/>
      <c r="C161" s="38">
        <v>0.30299999999999999</v>
      </c>
      <c r="D161" s="38">
        <v>0.35299999999999998</v>
      </c>
      <c r="E161" s="650"/>
      <c r="F161" s="634"/>
      <c r="G161" s="634"/>
      <c r="H161" s="19"/>
      <c r="I161" s="19"/>
      <c r="J161" s="19"/>
      <c r="K161" s="19"/>
      <c r="L161" s="19"/>
      <c r="M161" s="19"/>
      <c r="N161" s="19"/>
      <c r="O161" s="19"/>
      <c r="P161" s="20"/>
      <c r="Q161" s="47"/>
      <c r="R161" s="20">
        <v>70010011543</v>
      </c>
      <c r="S161" s="631"/>
      <c r="T161" s="634"/>
      <c r="U161" s="637"/>
    </row>
    <row r="162" spans="1:21" ht="36.6" thickBot="1" x14ac:dyDescent="0.35">
      <c r="A162" s="40" t="s">
        <v>2606</v>
      </c>
      <c r="B162" s="23" t="s">
        <v>2607</v>
      </c>
      <c r="C162" s="39">
        <v>0</v>
      </c>
      <c r="D162" s="39">
        <v>0.20399999999999999</v>
      </c>
      <c r="E162" s="39">
        <f t="shared" si="2"/>
        <v>0.20399999999999999</v>
      </c>
      <c r="F162" s="3">
        <f>815</f>
        <v>815</v>
      </c>
      <c r="G162" s="3" t="s">
        <v>51</v>
      </c>
      <c r="H162" s="27"/>
      <c r="I162" s="27"/>
      <c r="J162" s="27"/>
      <c r="K162" s="27"/>
      <c r="L162" s="27"/>
      <c r="M162" s="27"/>
      <c r="N162" s="27"/>
      <c r="O162" s="27"/>
      <c r="P162" s="3"/>
      <c r="Q162" s="4"/>
      <c r="R162" s="3">
        <v>70010011295</v>
      </c>
      <c r="S162" s="27" t="s">
        <v>2484</v>
      </c>
      <c r="T162" s="3" t="s">
        <v>2485</v>
      </c>
      <c r="U162" s="5"/>
    </row>
    <row r="163" spans="1:21" ht="36.6" thickBot="1" x14ac:dyDescent="0.35">
      <c r="A163" s="40" t="s">
        <v>2608</v>
      </c>
      <c r="B163" s="23" t="s">
        <v>948</v>
      </c>
      <c r="C163" s="39">
        <v>0</v>
      </c>
      <c r="D163" s="39">
        <v>0.10299999999999999</v>
      </c>
      <c r="E163" s="39">
        <f t="shared" si="2"/>
        <v>0.10299999999999999</v>
      </c>
      <c r="F163" s="3">
        <f>ROUND((E163*6.6*1000*1.2),0)</f>
        <v>816</v>
      </c>
      <c r="G163" s="3" t="s">
        <v>51</v>
      </c>
      <c r="H163" s="3"/>
      <c r="I163" s="27"/>
      <c r="J163" s="3"/>
      <c r="K163" s="27"/>
      <c r="L163" s="27"/>
      <c r="M163" s="27"/>
      <c r="N163" s="27"/>
      <c r="O163" s="27"/>
      <c r="P163" s="3">
        <v>396</v>
      </c>
      <c r="Q163" s="4">
        <v>198</v>
      </c>
      <c r="R163" s="3">
        <v>70010011297</v>
      </c>
      <c r="S163" s="27" t="s">
        <v>2484</v>
      </c>
      <c r="T163" s="3" t="s">
        <v>2485</v>
      </c>
      <c r="U163" s="5"/>
    </row>
    <row r="164" spans="1:21" x14ac:dyDescent="0.3">
      <c r="A164" s="643" t="s">
        <v>2609</v>
      </c>
      <c r="B164" s="607" t="s">
        <v>2610</v>
      </c>
      <c r="C164" s="36">
        <v>0</v>
      </c>
      <c r="D164" s="36">
        <v>6.4000000000000001E-2</v>
      </c>
      <c r="E164" s="649">
        <v>0.749</v>
      </c>
      <c r="F164" s="641">
        <v>4755</v>
      </c>
      <c r="G164" s="641" t="s">
        <v>51</v>
      </c>
      <c r="H164" s="34"/>
      <c r="I164" s="34"/>
      <c r="J164" s="34"/>
      <c r="K164" s="34"/>
      <c r="L164" s="34"/>
      <c r="M164" s="34"/>
      <c r="N164" s="34"/>
      <c r="O164" s="34"/>
      <c r="P164" s="641"/>
      <c r="Q164" s="44"/>
      <c r="R164" s="33" t="s">
        <v>2611</v>
      </c>
      <c r="S164" s="640" t="s">
        <v>2484</v>
      </c>
      <c r="T164" s="641" t="s">
        <v>2485</v>
      </c>
      <c r="U164" s="642" t="s">
        <v>67</v>
      </c>
    </row>
    <row r="165" spans="1:21" x14ac:dyDescent="0.3">
      <c r="A165" s="742"/>
      <c r="B165" s="608"/>
      <c r="C165" s="37">
        <v>6.4000000000000001E-2</v>
      </c>
      <c r="D165" s="37">
        <v>0.59499999999999997</v>
      </c>
      <c r="E165" s="653"/>
      <c r="F165" s="633"/>
      <c r="G165" s="633"/>
      <c r="H165" s="13"/>
      <c r="I165" s="13"/>
      <c r="J165" s="13"/>
      <c r="K165" s="13"/>
      <c r="L165" s="13"/>
      <c r="M165" s="13"/>
      <c r="N165" s="13"/>
      <c r="O165" s="13"/>
      <c r="P165" s="633"/>
      <c r="Q165" s="49"/>
      <c r="R165" s="14">
        <v>70010011349</v>
      </c>
      <c r="S165" s="621"/>
      <c r="T165" s="633"/>
      <c r="U165" s="636"/>
    </row>
    <row r="166" spans="1:21" ht="15" thickBot="1" x14ac:dyDescent="0.35">
      <c r="A166" s="644"/>
      <c r="B166" s="609"/>
      <c r="C166" s="38">
        <v>0.59499999999999997</v>
      </c>
      <c r="D166" s="38">
        <v>0.749</v>
      </c>
      <c r="E166" s="650"/>
      <c r="F166" s="634"/>
      <c r="G166" s="634"/>
      <c r="H166" s="19"/>
      <c r="I166" s="19"/>
      <c r="J166" s="19"/>
      <c r="K166" s="19"/>
      <c r="L166" s="19"/>
      <c r="M166" s="19"/>
      <c r="N166" s="19"/>
      <c r="O166" s="19"/>
      <c r="P166" s="20"/>
      <c r="Q166" s="47"/>
      <c r="R166" s="20">
        <v>70860050121</v>
      </c>
      <c r="S166" s="631"/>
      <c r="T166" s="634"/>
      <c r="U166" s="637"/>
    </row>
    <row r="167" spans="1:21" ht="36.6" thickBot="1" x14ac:dyDescent="0.35">
      <c r="A167" s="40" t="s">
        <v>2612</v>
      </c>
      <c r="B167" s="23" t="s">
        <v>2613</v>
      </c>
      <c r="C167" s="39">
        <v>0</v>
      </c>
      <c r="D167" s="39">
        <v>0.308</v>
      </c>
      <c r="E167" s="39">
        <f>D167-C167</f>
        <v>0.308</v>
      </c>
      <c r="F167" s="3">
        <f>ROUND((E167*5.5*1000)*1.25,0)</f>
        <v>2118</v>
      </c>
      <c r="G167" s="3" t="s">
        <v>51</v>
      </c>
      <c r="H167" s="27"/>
      <c r="I167" s="27"/>
      <c r="J167" s="27"/>
      <c r="K167" s="27"/>
      <c r="L167" s="27"/>
      <c r="M167" s="27"/>
      <c r="N167" s="27"/>
      <c r="O167" s="27"/>
      <c r="P167" s="3"/>
      <c r="Q167" s="4"/>
      <c r="R167" s="3">
        <v>70010011300</v>
      </c>
      <c r="S167" s="27" t="s">
        <v>2484</v>
      </c>
      <c r="T167" s="3" t="s">
        <v>2485</v>
      </c>
      <c r="U167" s="5"/>
    </row>
    <row r="168" spans="1:21" x14ac:dyDescent="0.3">
      <c r="A168" s="643" t="s">
        <v>2614</v>
      </c>
      <c r="B168" s="607" t="s">
        <v>2615</v>
      </c>
      <c r="C168" s="36">
        <v>0</v>
      </c>
      <c r="D168" s="36">
        <v>0.127</v>
      </c>
      <c r="E168" s="649">
        <v>0.17599999999999999</v>
      </c>
      <c r="F168" s="647">
        <f>(5.5*D168)+156</f>
        <v>156.6985</v>
      </c>
      <c r="G168" s="641" t="s">
        <v>51</v>
      </c>
      <c r="H168" s="34"/>
      <c r="I168" s="34"/>
      <c r="J168" s="34"/>
      <c r="K168" s="34"/>
      <c r="L168" s="34"/>
      <c r="M168" s="34"/>
      <c r="N168" s="34"/>
      <c r="O168" s="34"/>
      <c r="P168" s="33"/>
      <c r="Q168" s="44"/>
      <c r="R168" s="33">
        <v>70010011301</v>
      </c>
      <c r="S168" s="640" t="s">
        <v>2484</v>
      </c>
      <c r="T168" s="641" t="s">
        <v>2485</v>
      </c>
      <c r="U168" s="642" t="s">
        <v>67</v>
      </c>
    </row>
    <row r="169" spans="1:21" ht="15" thickBot="1" x14ac:dyDescent="0.35">
      <c r="A169" s="644"/>
      <c r="B169" s="609"/>
      <c r="C169" s="38">
        <v>0.127</v>
      </c>
      <c r="D169" s="38">
        <v>0.17599999999999999</v>
      </c>
      <c r="E169" s="650"/>
      <c r="F169" s="648"/>
      <c r="G169" s="634"/>
      <c r="H169" s="19"/>
      <c r="I169" s="19"/>
      <c r="J169" s="19"/>
      <c r="K169" s="19"/>
      <c r="L169" s="19"/>
      <c r="M169" s="19"/>
      <c r="N169" s="19"/>
      <c r="O169" s="19"/>
      <c r="P169" s="20"/>
      <c r="Q169" s="47"/>
      <c r="R169" s="20">
        <v>70010011462</v>
      </c>
      <c r="S169" s="631"/>
      <c r="T169" s="634"/>
      <c r="U169" s="637"/>
    </row>
    <row r="170" spans="1:21" x14ac:dyDescent="0.3">
      <c r="A170" s="643" t="s">
        <v>2616</v>
      </c>
      <c r="B170" s="607" t="s">
        <v>2478</v>
      </c>
      <c r="C170" s="36">
        <v>0</v>
      </c>
      <c r="D170" s="36">
        <v>0.47699999999999998</v>
      </c>
      <c r="E170" s="649">
        <v>0.51400000000000001</v>
      </c>
      <c r="F170" s="641">
        <f>ROUND(((E170*5*1000*1.25)+200),0)</f>
        <v>3413</v>
      </c>
      <c r="G170" s="641" t="s">
        <v>51</v>
      </c>
      <c r="H170" s="34"/>
      <c r="I170" s="34"/>
      <c r="J170" s="34"/>
      <c r="K170" s="34"/>
      <c r="L170" s="34"/>
      <c r="M170" s="34"/>
      <c r="N170" s="34"/>
      <c r="O170" s="34"/>
      <c r="P170" s="33"/>
      <c r="Q170" s="44"/>
      <c r="R170" s="33">
        <v>70010011302</v>
      </c>
      <c r="S170" s="640" t="s">
        <v>2484</v>
      </c>
      <c r="T170" s="641" t="s">
        <v>2485</v>
      </c>
      <c r="U170" s="642" t="s">
        <v>67</v>
      </c>
    </row>
    <row r="171" spans="1:21" ht="15" thickBot="1" x14ac:dyDescent="0.35">
      <c r="A171" s="644"/>
      <c r="B171" s="609"/>
      <c r="C171" s="38">
        <v>0.47699999999999998</v>
      </c>
      <c r="D171" s="38">
        <v>0.51400000000000001</v>
      </c>
      <c r="E171" s="650"/>
      <c r="F171" s="634"/>
      <c r="G171" s="634"/>
      <c r="H171" s="19"/>
      <c r="I171" s="19"/>
      <c r="J171" s="19"/>
      <c r="K171" s="19"/>
      <c r="L171" s="19"/>
      <c r="M171" s="19"/>
      <c r="N171" s="19"/>
      <c r="O171" s="19"/>
      <c r="P171" s="20"/>
      <c r="Q171" s="47"/>
      <c r="R171" s="20">
        <v>70010011498</v>
      </c>
      <c r="S171" s="631"/>
      <c r="T171" s="634"/>
      <c r="U171" s="637"/>
    </row>
    <row r="172" spans="1:21" ht="36.6" thickBot="1" x14ac:dyDescent="0.35">
      <c r="A172" s="40" t="s">
        <v>2617</v>
      </c>
      <c r="B172" s="23" t="s">
        <v>83</v>
      </c>
      <c r="C172" s="39">
        <v>0</v>
      </c>
      <c r="D172" s="39">
        <v>0.16800000000000001</v>
      </c>
      <c r="E172" s="39">
        <f t="shared" si="2"/>
        <v>0.16800000000000001</v>
      </c>
      <c r="F172" s="3">
        <f>ROUND((E172*4.7*1000*1.2),0)</f>
        <v>948</v>
      </c>
      <c r="G172" s="3" t="s">
        <v>51</v>
      </c>
      <c r="H172" s="27"/>
      <c r="I172" s="27"/>
      <c r="J172" s="27"/>
      <c r="K172" s="27"/>
      <c r="L172" s="27"/>
      <c r="M172" s="27"/>
      <c r="N172" s="27"/>
      <c r="O172" s="27"/>
      <c r="P172" s="3"/>
      <c r="Q172" s="4"/>
      <c r="R172" s="3">
        <v>70010011308</v>
      </c>
      <c r="S172" s="27" t="s">
        <v>2484</v>
      </c>
      <c r="T172" s="3" t="s">
        <v>2485</v>
      </c>
      <c r="U172" s="5"/>
    </row>
    <row r="173" spans="1:21" ht="36.6" thickBot="1" x14ac:dyDescent="0.35">
      <c r="A173" s="40" t="s">
        <v>2618</v>
      </c>
      <c r="B173" s="23" t="s">
        <v>952</v>
      </c>
      <c r="C173" s="39">
        <v>0</v>
      </c>
      <c r="D173" s="39">
        <v>0.33200000000000002</v>
      </c>
      <c r="E173" s="39">
        <f t="shared" si="2"/>
        <v>0.33200000000000002</v>
      </c>
      <c r="F173" s="3">
        <f>ROUND((E173*8*1.2*1000),0)</f>
        <v>3187</v>
      </c>
      <c r="G173" s="3" t="s">
        <v>51</v>
      </c>
      <c r="H173" s="27"/>
      <c r="I173" s="27"/>
      <c r="J173" s="27"/>
      <c r="K173" s="27"/>
      <c r="L173" s="27"/>
      <c r="M173" s="27"/>
      <c r="N173" s="27"/>
      <c r="O173" s="27"/>
      <c r="P173" s="3"/>
      <c r="Q173" s="4"/>
      <c r="R173" s="3">
        <v>70010011303</v>
      </c>
      <c r="S173" s="27" t="s">
        <v>2484</v>
      </c>
      <c r="T173" s="3" t="s">
        <v>2485</v>
      </c>
      <c r="U173" s="5"/>
    </row>
    <row r="174" spans="1:21" ht="36.6" thickBot="1" x14ac:dyDescent="0.35">
      <c r="A174" s="40" t="s">
        <v>2619</v>
      </c>
      <c r="B174" s="23" t="s">
        <v>2620</v>
      </c>
      <c r="C174" s="39">
        <v>0</v>
      </c>
      <c r="D174" s="39">
        <v>0.316</v>
      </c>
      <c r="E174" s="39">
        <f t="shared" si="2"/>
        <v>0.316</v>
      </c>
      <c r="F174" s="3">
        <f>ROUND((E174*5*1.2*1000),0)</f>
        <v>1896</v>
      </c>
      <c r="G174" s="3" t="s">
        <v>51</v>
      </c>
      <c r="H174" s="27"/>
      <c r="I174" s="27"/>
      <c r="J174" s="27"/>
      <c r="K174" s="27"/>
      <c r="L174" s="27"/>
      <c r="M174" s="27"/>
      <c r="N174" s="27"/>
      <c r="O174" s="27"/>
      <c r="P174" s="3">
        <v>345</v>
      </c>
      <c r="Q174" s="4">
        <v>172.5</v>
      </c>
      <c r="R174" s="380" t="s">
        <v>2621</v>
      </c>
      <c r="S174" s="27" t="s">
        <v>2484</v>
      </c>
      <c r="T174" s="3" t="s">
        <v>2485</v>
      </c>
      <c r="U174" s="5"/>
    </row>
    <row r="175" spans="1:21" x14ac:dyDescent="0.3">
      <c r="A175" s="643" t="s">
        <v>2622</v>
      </c>
      <c r="B175" s="607" t="s">
        <v>2623</v>
      </c>
      <c r="C175" s="36">
        <v>0</v>
      </c>
      <c r="D175" s="36">
        <v>7.0000000000000001E-3</v>
      </c>
      <c r="E175" s="649">
        <v>0.56000000000000005</v>
      </c>
      <c r="F175" s="641">
        <f>ROUND((E175*3.5*1000*1.15),0)</f>
        <v>2254</v>
      </c>
      <c r="G175" s="641" t="s">
        <v>32</v>
      </c>
      <c r="H175" s="34"/>
      <c r="I175" s="34"/>
      <c r="J175" s="34"/>
      <c r="K175" s="34"/>
      <c r="L175" s="34"/>
      <c r="M175" s="34"/>
      <c r="N175" s="34"/>
      <c r="O175" s="34"/>
      <c r="P175" s="641"/>
      <c r="Q175" s="36"/>
      <c r="R175" s="375" t="s">
        <v>2624</v>
      </c>
      <c r="S175" s="640" t="s">
        <v>2484</v>
      </c>
      <c r="T175" s="641" t="s">
        <v>2485</v>
      </c>
      <c r="U175" s="642" t="s">
        <v>67</v>
      </c>
    </row>
    <row r="176" spans="1:21" x14ac:dyDescent="0.3">
      <c r="A176" s="742"/>
      <c r="B176" s="608"/>
      <c r="C176" s="37">
        <v>7.0000000000000001E-3</v>
      </c>
      <c r="D176" s="37">
        <v>1.7999999999999999E-2</v>
      </c>
      <c r="E176" s="653"/>
      <c r="F176" s="633"/>
      <c r="G176" s="633"/>
      <c r="H176" s="13"/>
      <c r="I176" s="13"/>
      <c r="J176" s="13"/>
      <c r="K176" s="13"/>
      <c r="L176" s="13"/>
      <c r="M176" s="13"/>
      <c r="N176" s="13"/>
      <c r="O176" s="13"/>
      <c r="P176" s="633"/>
      <c r="Q176" s="37"/>
      <c r="R176" s="373" t="s">
        <v>2625</v>
      </c>
      <c r="S176" s="621"/>
      <c r="T176" s="633"/>
      <c r="U176" s="636"/>
    </row>
    <row r="177" spans="1:21" x14ac:dyDescent="0.3">
      <c r="A177" s="742"/>
      <c r="B177" s="608"/>
      <c r="C177" s="37">
        <v>1.7999999999999999E-2</v>
      </c>
      <c r="D177" s="37">
        <v>7.1999999999999995E-2</v>
      </c>
      <c r="E177" s="653"/>
      <c r="F177" s="633"/>
      <c r="G177" s="633"/>
      <c r="H177" s="13"/>
      <c r="I177" s="13"/>
      <c r="J177" s="13"/>
      <c r="K177" s="13"/>
      <c r="L177" s="13"/>
      <c r="M177" s="13"/>
      <c r="N177" s="13"/>
      <c r="O177" s="13"/>
      <c r="P177" s="633"/>
      <c r="Q177" s="37"/>
      <c r="R177" s="373" t="s">
        <v>2626</v>
      </c>
      <c r="S177" s="621"/>
      <c r="T177" s="633"/>
      <c r="U177" s="636"/>
    </row>
    <row r="178" spans="1:21" x14ac:dyDescent="0.3">
      <c r="A178" s="742"/>
      <c r="B178" s="608"/>
      <c r="C178" s="37">
        <v>7.1999999999999995E-2</v>
      </c>
      <c r="D178" s="37">
        <v>8.6999999999999994E-2</v>
      </c>
      <c r="E178" s="653"/>
      <c r="F178" s="633"/>
      <c r="G178" s="633"/>
      <c r="H178" s="13"/>
      <c r="I178" s="13"/>
      <c r="J178" s="13"/>
      <c r="K178" s="13"/>
      <c r="L178" s="13"/>
      <c r="M178" s="13"/>
      <c r="N178" s="13"/>
      <c r="O178" s="13"/>
      <c r="P178" s="633"/>
      <c r="Q178" s="37"/>
      <c r="R178" s="373" t="s">
        <v>2627</v>
      </c>
      <c r="S178" s="621"/>
      <c r="T178" s="633"/>
      <c r="U178" s="636"/>
    </row>
    <row r="179" spans="1:21" x14ac:dyDescent="0.3">
      <c r="A179" s="742"/>
      <c r="B179" s="608"/>
      <c r="C179" s="37">
        <v>8.6999999999999994E-2</v>
      </c>
      <c r="D179" s="37">
        <v>0.312</v>
      </c>
      <c r="E179" s="653"/>
      <c r="F179" s="633"/>
      <c r="G179" s="633"/>
      <c r="H179" s="13"/>
      <c r="I179" s="13"/>
      <c r="J179" s="13"/>
      <c r="K179" s="13"/>
      <c r="L179" s="13"/>
      <c r="M179" s="13"/>
      <c r="N179" s="13"/>
      <c r="O179" s="13"/>
      <c r="P179" s="633"/>
      <c r="Q179" s="37"/>
      <c r="R179" s="14">
        <v>70010011895</v>
      </c>
      <c r="S179" s="621"/>
      <c r="T179" s="633"/>
      <c r="U179" s="636"/>
    </row>
    <row r="180" spans="1:21" ht="15" thickBot="1" x14ac:dyDescent="0.35">
      <c r="A180" s="644"/>
      <c r="B180" s="609"/>
      <c r="C180" s="38">
        <v>0.312</v>
      </c>
      <c r="D180" s="38">
        <v>0.56000000000000005</v>
      </c>
      <c r="E180" s="650"/>
      <c r="F180" s="634"/>
      <c r="G180" s="634"/>
      <c r="H180" s="19"/>
      <c r="I180" s="19"/>
      <c r="J180" s="19"/>
      <c r="K180" s="19"/>
      <c r="L180" s="19"/>
      <c r="M180" s="19"/>
      <c r="N180" s="19"/>
      <c r="O180" s="19"/>
      <c r="P180" s="20"/>
      <c r="Q180" s="38"/>
      <c r="R180" s="20">
        <v>70010011619</v>
      </c>
      <c r="S180" s="631"/>
      <c r="T180" s="634"/>
      <c r="U180" s="637"/>
    </row>
    <row r="181" spans="1:21" x14ac:dyDescent="0.3">
      <c r="A181" s="643" t="s">
        <v>2628</v>
      </c>
      <c r="B181" s="607" t="s">
        <v>2629</v>
      </c>
      <c r="C181" s="36">
        <v>0</v>
      </c>
      <c r="D181" s="36">
        <v>7.3999999999999996E-2</v>
      </c>
      <c r="E181" s="649">
        <v>0.74299999999999999</v>
      </c>
      <c r="F181" s="641">
        <f>ROUND((E181*5.5*1000*1.15),0)</f>
        <v>4699</v>
      </c>
      <c r="G181" s="641" t="s">
        <v>32</v>
      </c>
      <c r="H181" s="34"/>
      <c r="I181" s="34"/>
      <c r="J181" s="34"/>
      <c r="K181" s="34"/>
      <c r="L181" s="34"/>
      <c r="M181" s="34"/>
      <c r="N181" s="34"/>
      <c r="O181" s="34"/>
      <c r="P181" s="33"/>
      <c r="Q181" s="36"/>
      <c r="R181" s="33" t="s">
        <v>2630</v>
      </c>
      <c r="S181" s="640" t="s">
        <v>2484</v>
      </c>
      <c r="T181" s="641" t="s">
        <v>2485</v>
      </c>
      <c r="U181" s="642"/>
    </row>
    <row r="182" spans="1:21" x14ac:dyDescent="0.3">
      <c r="A182" s="742"/>
      <c r="B182" s="608"/>
      <c r="C182" s="37">
        <v>7.3999999999999996E-2</v>
      </c>
      <c r="D182" s="37">
        <v>0.114</v>
      </c>
      <c r="E182" s="653"/>
      <c r="F182" s="633"/>
      <c r="G182" s="633"/>
      <c r="H182" s="13"/>
      <c r="I182" s="13"/>
      <c r="J182" s="13"/>
      <c r="K182" s="13"/>
      <c r="L182" s="13"/>
      <c r="M182" s="13"/>
      <c r="N182" s="13"/>
      <c r="O182" s="13"/>
      <c r="P182" s="14"/>
      <c r="Q182" s="37"/>
      <c r="R182" s="14">
        <v>70010011947</v>
      </c>
      <c r="S182" s="621"/>
      <c r="T182" s="633"/>
      <c r="U182" s="636"/>
    </row>
    <row r="183" spans="1:21" x14ac:dyDescent="0.3">
      <c r="A183" s="742"/>
      <c r="B183" s="608"/>
      <c r="C183" s="37">
        <v>0.114</v>
      </c>
      <c r="D183" s="37">
        <v>0.14499999999999999</v>
      </c>
      <c r="E183" s="653"/>
      <c r="F183" s="633"/>
      <c r="G183" s="633"/>
      <c r="H183" s="13"/>
      <c r="I183" s="13"/>
      <c r="J183" s="13"/>
      <c r="K183" s="13"/>
      <c r="L183" s="13"/>
      <c r="M183" s="13"/>
      <c r="N183" s="13"/>
      <c r="O183" s="13"/>
      <c r="P183" s="14"/>
      <c r="Q183" s="37"/>
      <c r="R183" s="633" t="s">
        <v>2631</v>
      </c>
      <c r="S183" s="621"/>
      <c r="T183" s="633"/>
      <c r="U183" s="636"/>
    </row>
    <row r="184" spans="1:21" x14ac:dyDescent="0.3">
      <c r="A184" s="742"/>
      <c r="B184" s="608"/>
      <c r="C184" s="37">
        <v>0.14499999999999999</v>
      </c>
      <c r="D184" s="37">
        <v>0.254</v>
      </c>
      <c r="E184" s="653"/>
      <c r="F184" s="633"/>
      <c r="G184" s="633"/>
      <c r="H184" s="13"/>
      <c r="I184" s="13"/>
      <c r="J184" s="13"/>
      <c r="K184" s="13"/>
      <c r="L184" s="13"/>
      <c r="M184" s="13"/>
      <c r="N184" s="13"/>
      <c r="O184" s="13"/>
      <c r="P184" s="14"/>
      <c r="Q184" s="37"/>
      <c r="R184" s="633"/>
      <c r="S184" s="621"/>
      <c r="T184" s="633"/>
      <c r="U184" s="636"/>
    </row>
    <row r="185" spans="1:21" x14ac:dyDescent="0.3">
      <c r="A185" s="742"/>
      <c r="B185" s="608"/>
      <c r="C185" s="37">
        <v>0.254</v>
      </c>
      <c r="D185" s="37">
        <v>0.46800000000000003</v>
      </c>
      <c r="E185" s="653"/>
      <c r="F185" s="633"/>
      <c r="G185" s="633"/>
      <c r="H185" s="13"/>
      <c r="I185" s="13"/>
      <c r="J185" s="13"/>
      <c r="K185" s="13"/>
      <c r="L185" s="13"/>
      <c r="M185" s="13"/>
      <c r="N185" s="13"/>
      <c r="O185" s="13"/>
      <c r="P185" s="14"/>
      <c r="Q185" s="37"/>
      <c r="R185" s="14">
        <v>70010012254</v>
      </c>
      <c r="S185" s="621"/>
      <c r="T185" s="633"/>
      <c r="U185" s="636"/>
    </row>
    <row r="186" spans="1:21" ht="15" thickBot="1" x14ac:dyDescent="0.35">
      <c r="A186" s="644"/>
      <c r="B186" s="609"/>
      <c r="C186" s="38">
        <v>0.46800000000000003</v>
      </c>
      <c r="D186" s="38">
        <v>0.74299999999999999</v>
      </c>
      <c r="E186" s="650"/>
      <c r="F186" s="634"/>
      <c r="G186" s="634"/>
      <c r="H186" s="19"/>
      <c r="I186" s="19"/>
      <c r="J186" s="19"/>
      <c r="K186" s="19"/>
      <c r="L186" s="19"/>
      <c r="M186" s="19"/>
      <c r="N186" s="19"/>
      <c r="O186" s="19"/>
      <c r="P186" s="20"/>
      <c r="Q186" s="38"/>
      <c r="R186" s="20">
        <v>70010011773</v>
      </c>
      <c r="S186" s="631"/>
      <c r="T186" s="634"/>
      <c r="U186" s="637"/>
    </row>
    <row r="187" spans="1:21" x14ac:dyDescent="0.3">
      <c r="A187" s="643" t="s">
        <v>2632</v>
      </c>
      <c r="B187" s="607" t="s">
        <v>2633</v>
      </c>
      <c r="C187" s="36">
        <v>0</v>
      </c>
      <c r="D187" s="36">
        <v>7.9000000000000001E-2</v>
      </c>
      <c r="E187" s="649">
        <v>0.25700000000000001</v>
      </c>
      <c r="F187" s="641">
        <v>1551</v>
      </c>
      <c r="G187" s="641" t="s">
        <v>51</v>
      </c>
      <c r="H187" s="34"/>
      <c r="I187" s="34"/>
      <c r="J187" s="34"/>
      <c r="K187" s="34"/>
      <c r="L187" s="34"/>
      <c r="M187" s="34"/>
      <c r="N187" s="34"/>
      <c r="O187" s="34"/>
      <c r="P187" s="33"/>
      <c r="Q187" s="36"/>
      <c r="R187" s="375" t="s">
        <v>2634</v>
      </c>
      <c r="S187" s="640" t="s">
        <v>2484</v>
      </c>
      <c r="T187" s="641" t="s">
        <v>2485</v>
      </c>
      <c r="U187" s="642"/>
    </row>
    <row r="188" spans="1:21" x14ac:dyDescent="0.3">
      <c r="A188" s="742"/>
      <c r="B188" s="608"/>
      <c r="C188" s="653">
        <v>7.9000000000000001E-2</v>
      </c>
      <c r="D188" s="653">
        <v>0.20200000000000001</v>
      </c>
      <c r="E188" s="653"/>
      <c r="F188" s="633"/>
      <c r="G188" s="633"/>
      <c r="H188" s="13"/>
      <c r="I188" s="13"/>
      <c r="J188" s="13"/>
      <c r="K188" s="13"/>
      <c r="L188" s="13"/>
      <c r="M188" s="13"/>
      <c r="N188" s="13"/>
      <c r="O188" s="13"/>
      <c r="P188" s="14"/>
      <c r="Q188" s="37"/>
      <c r="R188" s="14" t="s">
        <v>2635</v>
      </c>
      <c r="S188" s="621"/>
      <c r="T188" s="633"/>
      <c r="U188" s="636"/>
    </row>
    <row r="189" spans="1:21" x14ac:dyDescent="0.3">
      <c r="A189" s="742"/>
      <c r="B189" s="608"/>
      <c r="C189" s="653"/>
      <c r="D189" s="653"/>
      <c r="E189" s="653"/>
      <c r="F189" s="633"/>
      <c r="G189" s="633"/>
      <c r="H189" s="13"/>
      <c r="I189" s="13"/>
      <c r="J189" s="13"/>
      <c r="K189" s="13"/>
      <c r="L189" s="13"/>
      <c r="M189" s="13"/>
      <c r="N189" s="13"/>
      <c r="O189" s="13"/>
      <c r="P189" s="14"/>
      <c r="Q189" s="37"/>
      <c r="R189" s="14" t="s">
        <v>2636</v>
      </c>
      <c r="S189" s="621"/>
      <c r="T189" s="633"/>
      <c r="U189" s="636"/>
    </row>
    <row r="190" spans="1:21" ht="15" thickBot="1" x14ac:dyDescent="0.35">
      <c r="A190" s="644"/>
      <c r="B190" s="609"/>
      <c r="C190" s="38">
        <v>0.20200000000000001</v>
      </c>
      <c r="D190" s="38">
        <v>0.25700000000000001</v>
      </c>
      <c r="E190" s="650"/>
      <c r="F190" s="634"/>
      <c r="G190" s="634"/>
      <c r="H190" s="19"/>
      <c r="I190" s="19"/>
      <c r="J190" s="19"/>
      <c r="K190" s="19"/>
      <c r="L190" s="19"/>
      <c r="M190" s="19"/>
      <c r="N190" s="19"/>
      <c r="O190" s="19"/>
      <c r="P190" s="20"/>
      <c r="Q190" s="38"/>
      <c r="R190" s="20" t="s">
        <v>2637</v>
      </c>
      <c r="S190" s="631"/>
      <c r="T190" s="634"/>
      <c r="U190" s="637"/>
    </row>
    <row r="191" spans="1:21" ht="36.6" thickBot="1" x14ac:dyDescent="0.35">
      <c r="A191" s="40" t="s">
        <v>2638</v>
      </c>
      <c r="B191" s="23" t="s">
        <v>2639</v>
      </c>
      <c r="C191" s="39">
        <v>0</v>
      </c>
      <c r="D191" s="39">
        <v>0.32900000000000001</v>
      </c>
      <c r="E191" s="39">
        <f t="shared" ref="E191" si="3">D191-C191</f>
        <v>0.32900000000000001</v>
      </c>
      <c r="F191" s="3">
        <f>ROUND((E191*4*1000),0)</f>
        <v>1316</v>
      </c>
      <c r="G191" s="3" t="s">
        <v>51</v>
      </c>
      <c r="H191" s="27"/>
      <c r="I191" s="27"/>
      <c r="J191" s="27"/>
      <c r="K191" s="27"/>
      <c r="L191" s="27"/>
      <c r="M191" s="27"/>
      <c r="N191" s="27"/>
      <c r="O191" s="27"/>
      <c r="P191" s="3"/>
      <c r="Q191" s="39"/>
      <c r="R191" s="3">
        <v>70010011314</v>
      </c>
      <c r="S191" s="27"/>
      <c r="T191" s="3" t="s">
        <v>2485</v>
      </c>
      <c r="U191" s="5"/>
    </row>
    <row r="192" spans="1:21" x14ac:dyDescent="0.3">
      <c r="A192" s="643" t="s">
        <v>2640</v>
      </c>
      <c r="B192" s="607" t="s">
        <v>2641</v>
      </c>
      <c r="C192" s="36">
        <v>0</v>
      </c>
      <c r="D192" s="36">
        <v>9.8000000000000004E-2</v>
      </c>
      <c r="E192" s="649">
        <f>D196-C192</f>
        <v>0.59599999999999997</v>
      </c>
      <c r="F192" s="641">
        <f>ROUND((E192*6.3*1000),0)</f>
        <v>3755</v>
      </c>
      <c r="G192" s="641" t="s">
        <v>32</v>
      </c>
      <c r="H192" s="34"/>
      <c r="I192" s="34"/>
      <c r="J192" s="34"/>
      <c r="K192" s="34"/>
      <c r="L192" s="34"/>
      <c r="M192" s="34"/>
      <c r="N192" s="34"/>
      <c r="O192" s="34"/>
      <c r="P192" s="33"/>
      <c r="Q192" s="36"/>
      <c r="R192" s="375" t="s">
        <v>2642</v>
      </c>
      <c r="S192" s="640" t="s">
        <v>2484</v>
      </c>
      <c r="T192" s="641" t="s">
        <v>2485</v>
      </c>
      <c r="U192" s="642"/>
    </row>
    <row r="193" spans="1:21" x14ac:dyDescent="0.3">
      <c r="A193" s="742"/>
      <c r="B193" s="608"/>
      <c r="C193" s="37">
        <v>9.8000000000000004E-2</v>
      </c>
      <c r="D193" s="37">
        <v>0.11</v>
      </c>
      <c r="E193" s="653"/>
      <c r="F193" s="633"/>
      <c r="G193" s="633"/>
      <c r="H193" s="13"/>
      <c r="I193" s="13"/>
      <c r="J193" s="13"/>
      <c r="K193" s="13"/>
      <c r="L193" s="13"/>
      <c r="M193" s="13"/>
      <c r="N193" s="13"/>
      <c r="O193" s="13"/>
      <c r="P193" s="14"/>
      <c r="Q193" s="37"/>
      <c r="R193" s="373" t="s">
        <v>2643</v>
      </c>
      <c r="S193" s="621"/>
      <c r="T193" s="633"/>
      <c r="U193" s="636"/>
    </row>
    <row r="194" spans="1:21" x14ac:dyDescent="0.3">
      <c r="A194" s="742"/>
      <c r="B194" s="608"/>
      <c r="C194" s="37">
        <v>0.11</v>
      </c>
      <c r="D194" s="37">
        <v>0.246</v>
      </c>
      <c r="E194" s="653"/>
      <c r="F194" s="633"/>
      <c r="G194" s="633"/>
      <c r="H194" s="13"/>
      <c r="I194" s="13"/>
      <c r="J194" s="13"/>
      <c r="K194" s="13"/>
      <c r="L194" s="13"/>
      <c r="M194" s="13"/>
      <c r="N194" s="13"/>
      <c r="O194" s="13"/>
      <c r="P194" s="14"/>
      <c r="Q194" s="37"/>
      <c r="R194" s="373" t="s">
        <v>2644</v>
      </c>
      <c r="S194" s="621"/>
      <c r="T194" s="633"/>
      <c r="U194" s="636"/>
    </row>
    <row r="195" spans="1:21" x14ac:dyDescent="0.3">
      <c r="A195" s="742"/>
      <c r="B195" s="608"/>
      <c r="C195" s="37">
        <v>0.246</v>
      </c>
      <c r="D195" s="37">
        <v>0.32700000000000001</v>
      </c>
      <c r="E195" s="653"/>
      <c r="F195" s="633"/>
      <c r="G195" s="633"/>
      <c r="H195" s="13"/>
      <c r="I195" s="13"/>
      <c r="J195" s="13"/>
      <c r="K195" s="13"/>
      <c r="L195" s="13"/>
      <c r="M195" s="13"/>
      <c r="N195" s="13"/>
      <c r="O195" s="13"/>
      <c r="P195" s="14"/>
      <c r="Q195" s="37"/>
      <c r="R195" s="373" t="s">
        <v>2645</v>
      </c>
      <c r="S195" s="621"/>
      <c r="T195" s="633"/>
      <c r="U195" s="636"/>
    </row>
    <row r="196" spans="1:21" ht="15" thickBot="1" x14ac:dyDescent="0.35">
      <c r="A196" s="644"/>
      <c r="B196" s="609"/>
      <c r="C196" s="38">
        <v>0.32700000000000001</v>
      </c>
      <c r="D196" s="38">
        <v>0.59599999999999997</v>
      </c>
      <c r="E196" s="650"/>
      <c r="F196" s="634"/>
      <c r="G196" s="634"/>
      <c r="H196" s="19"/>
      <c r="I196" s="19"/>
      <c r="J196" s="19"/>
      <c r="K196" s="19"/>
      <c r="L196" s="19"/>
      <c r="M196" s="19"/>
      <c r="N196" s="19"/>
      <c r="O196" s="19"/>
      <c r="P196" s="20"/>
      <c r="Q196" s="38"/>
      <c r="R196" s="374" t="s">
        <v>2646</v>
      </c>
      <c r="S196" s="631"/>
      <c r="T196" s="634"/>
      <c r="U196" s="637"/>
    </row>
    <row r="197" spans="1:21" x14ac:dyDescent="0.3">
      <c r="A197" s="643" t="s">
        <v>2647</v>
      </c>
      <c r="B197" s="607" t="s">
        <v>2648</v>
      </c>
      <c r="C197" s="36">
        <v>0</v>
      </c>
      <c r="D197" s="36">
        <v>9.1999999999999998E-2</v>
      </c>
      <c r="E197" s="649">
        <v>0.185</v>
      </c>
      <c r="F197" s="33">
        <f>ROUND((D197*5.5*1000),0)</f>
        <v>506</v>
      </c>
      <c r="G197" s="33" t="s">
        <v>51</v>
      </c>
      <c r="H197" s="34"/>
      <c r="I197" s="34"/>
      <c r="J197" s="34"/>
      <c r="K197" s="34"/>
      <c r="L197" s="34"/>
      <c r="M197" s="34"/>
      <c r="N197" s="34"/>
      <c r="O197" s="34"/>
      <c r="P197" s="33"/>
      <c r="Q197" s="36"/>
      <c r="R197" s="375" t="s">
        <v>2649</v>
      </c>
      <c r="S197" s="640" t="s">
        <v>2484</v>
      </c>
      <c r="T197" s="641" t="s">
        <v>2485</v>
      </c>
      <c r="U197" s="642"/>
    </row>
    <row r="198" spans="1:21" ht="24.6" thickBot="1" x14ac:dyDescent="0.35">
      <c r="A198" s="644"/>
      <c r="B198" s="609"/>
      <c r="C198" s="38">
        <v>9.1999999999999998E-2</v>
      </c>
      <c r="D198" s="38">
        <v>0.185</v>
      </c>
      <c r="E198" s="650"/>
      <c r="F198" s="20">
        <f>ROUND(((D198-C198)*5.5*1000),0)</f>
        <v>512</v>
      </c>
      <c r="G198" s="20" t="s">
        <v>32</v>
      </c>
      <c r="H198" s="19"/>
      <c r="I198" s="19"/>
      <c r="J198" s="19"/>
      <c r="K198" s="19"/>
      <c r="L198" s="19"/>
      <c r="M198" s="19"/>
      <c r="N198" s="19"/>
      <c r="O198" s="19"/>
      <c r="P198" s="20"/>
      <c r="Q198" s="38"/>
      <c r="R198" s="374" t="s">
        <v>2650</v>
      </c>
      <c r="S198" s="631"/>
      <c r="T198" s="634"/>
      <c r="U198" s="637"/>
    </row>
    <row r="199" spans="1:21" x14ac:dyDescent="0.3">
      <c r="A199" s="643" t="s">
        <v>2651</v>
      </c>
      <c r="B199" s="607" t="s">
        <v>2652</v>
      </c>
      <c r="C199" s="36">
        <v>0</v>
      </c>
      <c r="D199" s="36">
        <v>0.26</v>
      </c>
      <c r="E199" s="649">
        <v>0.432</v>
      </c>
      <c r="F199" s="641">
        <f>ROUND((E199*4*1000),0)</f>
        <v>1728</v>
      </c>
      <c r="G199" s="641" t="s">
        <v>32</v>
      </c>
      <c r="H199" s="34"/>
      <c r="I199" s="34"/>
      <c r="J199" s="34"/>
      <c r="K199" s="34"/>
      <c r="L199" s="34"/>
      <c r="M199" s="34"/>
      <c r="N199" s="34"/>
      <c r="O199" s="34"/>
      <c r="P199" s="33"/>
      <c r="Q199" s="36"/>
      <c r="R199" s="375" t="s">
        <v>2611</v>
      </c>
      <c r="S199" s="640" t="s">
        <v>2484</v>
      </c>
      <c r="T199" s="641" t="s">
        <v>2485</v>
      </c>
      <c r="U199" s="642"/>
    </row>
    <row r="200" spans="1:21" ht="15" thickBot="1" x14ac:dyDescent="0.35">
      <c r="A200" s="644"/>
      <c r="B200" s="609"/>
      <c r="C200" s="38">
        <v>0.26</v>
      </c>
      <c r="D200" s="38">
        <v>0.432</v>
      </c>
      <c r="E200" s="650"/>
      <c r="F200" s="634"/>
      <c r="G200" s="634"/>
      <c r="H200" s="19"/>
      <c r="I200" s="19"/>
      <c r="J200" s="19"/>
      <c r="K200" s="19"/>
      <c r="L200" s="19"/>
      <c r="M200" s="19"/>
      <c r="N200" s="19"/>
      <c r="O200" s="19"/>
      <c r="P200" s="20"/>
      <c r="Q200" s="38"/>
      <c r="R200" s="374" t="s">
        <v>2653</v>
      </c>
      <c r="S200" s="631"/>
      <c r="T200" s="634"/>
      <c r="U200" s="637"/>
    </row>
    <row r="201" spans="1:21" ht="36.6" thickBot="1" x14ac:dyDescent="0.35">
      <c r="A201" s="40" t="s">
        <v>2654</v>
      </c>
      <c r="B201" s="305" t="s">
        <v>2655</v>
      </c>
      <c r="C201" s="39">
        <v>0</v>
      </c>
      <c r="D201" s="27">
        <v>0.17799999999999999</v>
      </c>
      <c r="E201" s="26">
        <v>0.17799999999999999</v>
      </c>
      <c r="F201" s="27">
        <v>2700</v>
      </c>
      <c r="G201" s="3" t="s">
        <v>51</v>
      </c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>
        <v>70010012185</v>
      </c>
      <c r="S201" s="27" t="s">
        <v>2484</v>
      </c>
      <c r="T201" s="3" t="s">
        <v>2485</v>
      </c>
      <c r="U201" s="5"/>
    </row>
    <row r="202" spans="1:21" ht="36.6" thickBot="1" x14ac:dyDescent="0.35">
      <c r="A202" s="40" t="s">
        <v>2656</v>
      </c>
      <c r="B202" s="305" t="s">
        <v>2657</v>
      </c>
      <c r="C202" s="39">
        <v>0</v>
      </c>
      <c r="D202" s="27">
        <v>0.20499999999999999</v>
      </c>
      <c r="E202" s="26">
        <v>0.20499999999999999</v>
      </c>
      <c r="F202" s="27">
        <v>930</v>
      </c>
      <c r="G202" s="3" t="s">
        <v>51</v>
      </c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>
        <v>70010011522</v>
      </c>
      <c r="S202" s="27" t="s">
        <v>2484</v>
      </c>
      <c r="T202" s="3" t="s">
        <v>2485</v>
      </c>
      <c r="U202" s="5" t="s">
        <v>67</v>
      </c>
    </row>
    <row r="203" spans="1:21" x14ac:dyDescent="0.3">
      <c r="A203" s="643" t="s">
        <v>2658</v>
      </c>
      <c r="B203" s="963" t="s">
        <v>230</v>
      </c>
      <c r="C203" s="36">
        <v>0</v>
      </c>
      <c r="D203" s="34">
        <v>0.89400000000000002</v>
      </c>
      <c r="E203" s="615">
        <v>1.115</v>
      </c>
      <c r="F203" s="640">
        <v>5595</v>
      </c>
      <c r="G203" s="641" t="s">
        <v>32</v>
      </c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>
        <v>70010011074</v>
      </c>
      <c r="S203" s="640" t="s">
        <v>2484</v>
      </c>
      <c r="T203" s="641" t="s">
        <v>2485</v>
      </c>
      <c r="U203" s="642" t="s">
        <v>67</v>
      </c>
    </row>
    <row r="204" spans="1:21" ht="15" thickBot="1" x14ac:dyDescent="0.35">
      <c r="A204" s="644"/>
      <c r="B204" s="964"/>
      <c r="C204" s="38">
        <v>0.89400000000000002</v>
      </c>
      <c r="D204" s="19">
        <v>1.115</v>
      </c>
      <c r="E204" s="639"/>
      <c r="F204" s="631"/>
      <c r="G204" s="634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>
        <v>70010011080</v>
      </c>
      <c r="S204" s="631"/>
      <c r="T204" s="634"/>
      <c r="U204" s="637"/>
    </row>
    <row r="205" spans="1:21" x14ac:dyDescent="0.3">
      <c r="A205" s="643" t="s">
        <v>2659</v>
      </c>
      <c r="B205" s="963" t="s">
        <v>87</v>
      </c>
      <c r="C205" s="649">
        <v>0</v>
      </c>
      <c r="D205" s="640">
        <v>0.214</v>
      </c>
      <c r="E205" s="615">
        <v>0.214</v>
      </c>
      <c r="F205" s="640">
        <v>963</v>
      </c>
      <c r="G205" s="641" t="s">
        <v>32</v>
      </c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>
        <v>70010011065</v>
      </c>
      <c r="S205" s="640" t="s">
        <v>2484</v>
      </c>
      <c r="T205" s="641" t="s">
        <v>2485</v>
      </c>
      <c r="U205" s="642" t="s">
        <v>67</v>
      </c>
    </row>
    <row r="206" spans="1:21" x14ac:dyDescent="0.3">
      <c r="A206" s="742"/>
      <c r="B206" s="970"/>
      <c r="C206" s="653"/>
      <c r="D206" s="621"/>
      <c r="E206" s="616"/>
      <c r="F206" s="621"/>
      <c r="G206" s="63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>
        <v>70010012205</v>
      </c>
      <c r="S206" s="621"/>
      <c r="T206" s="633"/>
      <c r="U206" s="636"/>
    </row>
    <row r="207" spans="1:21" ht="15" thickBot="1" x14ac:dyDescent="0.35">
      <c r="A207" s="644"/>
      <c r="B207" s="964"/>
      <c r="C207" s="650"/>
      <c r="D207" s="631"/>
      <c r="E207" s="639"/>
      <c r="F207" s="631"/>
      <c r="G207" s="634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>
        <v>70010011089</v>
      </c>
      <c r="S207" s="631"/>
      <c r="T207" s="634"/>
      <c r="U207" s="637"/>
    </row>
    <row r="208" spans="1:21" x14ac:dyDescent="0.3">
      <c r="A208" s="643" t="s">
        <v>2660</v>
      </c>
      <c r="B208" s="607" t="s">
        <v>2661</v>
      </c>
      <c r="C208" s="649">
        <v>0</v>
      </c>
      <c r="D208" s="640">
        <v>0.38300000000000001</v>
      </c>
      <c r="E208" s="615">
        <v>0.38300000000000001</v>
      </c>
      <c r="F208" s="640">
        <v>1724</v>
      </c>
      <c r="G208" s="641" t="s">
        <v>51</v>
      </c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>
        <v>70010012210</v>
      </c>
      <c r="S208" s="640" t="s">
        <v>2484</v>
      </c>
      <c r="T208" s="641" t="s">
        <v>2485</v>
      </c>
      <c r="U208" s="642"/>
    </row>
    <row r="209" spans="1:32" x14ac:dyDescent="0.3">
      <c r="A209" s="742"/>
      <c r="B209" s="608"/>
      <c r="C209" s="653"/>
      <c r="D209" s="621"/>
      <c r="E209" s="616"/>
      <c r="F209" s="621"/>
      <c r="G209" s="63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>
        <v>70010012213</v>
      </c>
      <c r="S209" s="621"/>
      <c r="T209" s="633"/>
      <c r="U209" s="636"/>
    </row>
    <row r="210" spans="1:32" x14ac:dyDescent="0.3">
      <c r="A210" s="742"/>
      <c r="B210" s="608"/>
      <c r="C210" s="653"/>
      <c r="D210" s="621"/>
      <c r="E210" s="616"/>
      <c r="F210" s="621"/>
      <c r="G210" s="63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>
        <v>7010011143</v>
      </c>
      <c r="S210" s="621"/>
      <c r="T210" s="633"/>
      <c r="U210" s="636"/>
    </row>
    <row r="211" spans="1:32" x14ac:dyDescent="0.3">
      <c r="A211" s="742"/>
      <c r="B211" s="608"/>
      <c r="C211" s="653"/>
      <c r="D211" s="621"/>
      <c r="E211" s="616"/>
      <c r="F211" s="621"/>
      <c r="G211" s="63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>
        <v>70010012042</v>
      </c>
      <c r="S211" s="621"/>
      <c r="T211" s="633"/>
      <c r="U211" s="636"/>
    </row>
    <row r="212" spans="1:32" ht="15" thickBot="1" x14ac:dyDescent="0.35">
      <c r="A212" s="644"/>
      <c r="B212" s="609"/>
      <c r="C212" s="650"/>
      <c r="D212" s="631"/>
      <c r="E212" s="639"/>
      <c r="F212" s="631"/>
      <c r="G212" s="634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>
        <v>70010012039</v>
      </c>
      <c r="S212" s="631"/>
      <c r="T212" s="634"/>
      <c r="U212" s="637"/>
    </row>
    <row r="213" spans="1:32" x14ac:dyDescent="0.3">
      <c r="T213" s="388"/>
      <c r="U213" s="165"/>
    </row>
    <row r="214" spans="1:32" ht="24.6" x14ac:dyDescent="0.3">
      <c r="B214" s="61" t="s">
        <v>202</v>
      </c>
      <c r="T214" s="388"/>
      <c r="U214" s="165"/>
    </row>
    <row r="215" spans="1:32" ht="24.6" x14ac:dyDescent="0.3">
      <c r="B215" s="61" t="s">
        <v>203</v>
      </c>
      <c r="E215"/>
      <c r="T215" s="388"/>
      <c r="U215" s="165"/>
    </row>
    <row r="216" spans="1:32" ht="24.6" x14ac:dyDescent="0.3">
      <c r="B216" s="61" t="s">
        <v>204</v>
      </c>
      <c r="E216"/>
      <c r="T216" s="388"/>
      <c r="U216" s="165"/>
    </row>
    <row r="217" spans="1:32" ht="24.6" x14ac:dyDescent="0.3">
      <c r="B217" s="61" t="s">
        <v>205</v>
      </c>
      <c r="E217"/>
      <c r="T217" s="388"/>
      <c r="U217" s="165"/>
    </row>
    <row r="218" spans="1:32" x14ac:dyDescent="0.3">
      <c r="T218" s="388"/>
      <c r="U218" s="165"/>
    </row>
    <row r="219" spans="1:32" s="59" customFormat="1" ht="27.6" customHeight="1" x14ac:dyDescent="0.25">
      <c r="A219" s="509"/>
      <c r="B219" s="509"/>
      <c r="C219" s="512" t="s">
        <v>3985</v>
      </c>
      <c r="D219" s="543" t="s">
        <v>3986</v>
      </c>
      <c r="E219" s="543"/>
      <c r="F219" s="543"/>
      <c r="G219" s="509"/>
      <c r="H219" s="509"/>
      <c r="I219" s="509"/>
      <c r="J219" s="509"/>
      <c r="K219" s="509"/>
      <c r="L219" s="509"/>
      <c r="M219" s="509"/>
      <c r="N219" s="509"/>
      <c r="O219" s="509"/>
      <c r="P219" s="509"/>
      <c r="Q219" s="509"/>
      <c r="R219" s="509"/>
      <c r="S219" s="509"/>
      <c r="T219" s="509"/>
      <c r="U219" s="509"/>
      <c r="V219" s="509"/>
      <c r="W219" s="509"/>
      <c r="X219" s="509"/>
      <c r="Y219" s="509"/>
      <c r="Z219" s="509"/>
      <c r="AA219" s="509"/>
      <c r="AB219" s="509"/>
      <c r="AC219" s="509"/>
      <c r="AD219" s="509"/>
      <c r="AE219" s="510"/>
      <c r="AF219" s="510"/>
    </row>
    <row r="220" spans="1:32" s="59" customFormat="1" ht="13.8" x14ac:dyDescent="0.25">
      <c r="A220" s="509"/>
      <c r="B220" s="509"/>
      <c r="C220" s="509"/>
      <c r="D220" s="509"/>
      <c r="E220" s="509"/>
      <c r="F220" s="509"/>
      <c r="G220" s="509"/>
      <c r="H220" s="509"/>
      <c r="I220" s="509"/>
      <c r="J220" s="509"/>
      <c r="K220" s="509"/>
      <c r="L220" s="509"/>
      <c r="M220" s="509"/>
      <c r="N220" s="509"/>
      <c r="O220" s="509"/>
      <c r="P220" s="509"/>
      <c r="Q220" s="509"/>
      <c r="R220" s="509"/>
      <c r="S220" s="509"/>
      <c r="T220" s="509"/>
      <c r="U220" s="509"/>
      <c r="V220" s="509"/>
      <c r="W220" s="509"/>
      <c r="X220" s="509"/>
      <c r="Y220" s="509"/>
      <c r="Z220" s="509"/>
      <c r="AA220" s="509"/>
      <c r="AB220" s="509"/>
      <c r="AC220" s="509"/>
      <c r="AD220" s="509"/>
      <c r="AE220" s="510"/>
      <c r="AF220" s="510"/>
    </row>
    <row r="221" spans="1:32" s="59" customFormat="1" ht="13.8" x14ac:dyDescent="0.25">
      <c r="A221" s="509"/>
      <c r="B221" s="509"/>
      <c r="C221" s="509"/>
      <c r="D221" s="509"/>
      <c r="E221" s="509"/>
      <c r="F221" s="509"/>
      <c r="G221" s="509"/>
      <c r="H221" s="509"/>
      <c r="I221" s="509"/>
      <c r="J221" s="509"/>
      <c r="K221" s="509"/>
      <c r="L221" s="509"/>
      <c r="M221" s="509"/>
      <c r="N221" s="509"/>
      <c r="O221" s="509"/>
      <c r="P221" s="509"/>
      <c r="Q221" s="509"/>
      <c r="R221" s="509"/>
      <c r="S221" s="509"/>
      <c r="T221" s="509"/>
      <c r="U221" s="509"/>
      <c r="V221" s="509"/>
      <c r="W221" s="509"/>
      <c r="X221" s="509"/>
      <c r="Y221" s="509"/>
      <c r="Z221" s="509"/>
      <c r="AA221" s="509"/>
      <c r="AB221" s="509"/>
      <c r="AC221" s="509"/>
      <c r="AD221" s="509"/>
      <c r="AE221" s="417"/>
      <c r="AF221" s="510"/>
    </row>
    <row r="222" spans="1:32" s="59" customFormat="1" ht="13.8" x14ac:dyDescent="0.25">
      <c r="B222" s="60"/>
      <c r="C222" s="438" t="s">
        <v>3989</v>
      </c>
      <c r="D222" s="544" t="s">
        <v>3990</v>
      </c>
      <c r="E222" s="544"/>
      <c r="F222" s="544"/>
      <c r="G222" s="544"/>
      <c r="H222" s="544"/>
      <c r="I222" s="544"/>
      <c r="T222" s="60"/>
      <c r="U222" s="60"/>
    </row>
    <row r="223" spans="1:32" s="59" customFormat="1" ht="13.95" customHeight="1" x14ac:dyDescent="0.25">
      <c r="B223" s="60"/>
      <c r="C223" s="438" t="s">
        <v>3987</v>
      </c>
      <c r="D223" s="553" t="s">
        <v>3988</v>
      </c>
      <c r="E223" s="553"/>
      <c r="F223" s="553"/>
      <c r="G223" s="553"/>
      <c r="H223" s="553"/>
      <c r="I223" s="553"/>
      <c r="T223" s="60"/>
      <c r="U223" s="60"/>
    </row>
    <row r="224" spans="1:32" s="59" customFormat="1" ht="14.4" customHeight="1" x14ac:dyDescent="0.25">
      <c r="T224" s="60"/>
      <c r="U224" s="60"/>
    </row>
    <row r="225" spans="1:21" s="59" customFormat="1" ht="13.8" x14ac:dyDescent="0.25">
      <c r="A225" s="469"/>
      <c r="B225" s="743" t="s">
        <v>3984</v>
      </c>
      <c r="C225" s="743"/>
      <c r="D225" s="743"/>
      <c r="E225" s="743"/>
      <c r="F225" s="743"/>
      <c r="G225" s="743"/>
      <c r="H225" s="743"/>
      <c r="I225" s="743"/>
      <c r="T225" s="304"/>
      <c r="U225" s="304"/>
    </row>
    <row r="226" spans="1:21" x14ac:dyDescent="0.3">
      <c r="T226" s="388"/>
      <c r="U226" s="165"/>
    </row>
    <row r="227" spans="1:21" x14ac:dyDescent="0.3">
      <c r="T227" s="388"/>
      <c r="U227" s="165"/>
    </row>
    <row r="228" spans="1:21" x14ac:dyDescent="0.3">
      <c r="T228" s="388"/>
      <c r="U228" s="165"/>
    </row>
    <row r="229" spans="1:21" x14ac:dyDescent="0.3">
      <c r="T229" s="388"/>
      <c r="U229" s="165"/>
    </row>
    <row r="230" spans="1:21" x14ac:dyDescent="0.3">
      <c r="T230" s="388"/>
      <c r="U230" s="165"/>
    </row>
    <row r="231" spans="1:21" x14ac:dyDescent="0.3">
      <c r="T231" s="388"/>
      <c r="U231" s="165"/>
    </row>
    <row r="232" spans="1:21" x14ac:dyDescent="0.3">
      <c r="T232" s="388"/>
      <c r="U232" s="165"/>
    </row>
    <row r="233" spans="1:21" x14ac:dyDescent="0.3">
      <c r="T233" s="388"/>
      <c r="U233" s="165"/>
    </row>
    <row r="234" spans="1:21" x14ac:dyDescent="0.3">
      <c r="T234" s="388"/>
      <c r="U234" s="165"/>
    </row>
    <row r="235" spans="1:21" x14ac:dyDescent="0.3">
      <c r="T235" s="388"/>
      <c r="U235" s="165"/>
    </row>
    <row r="236" spans="1:21" x14ac:dyDescent="0.3">
      <c r="T236" s="388"/>
      <c r="U236" s="165"/>
    </row>
    <row r="237" spans="1:21" x14ac:dyDescent="0.3">
      <c r="T237" s="388"/>
      <c r="U237" s="165"/>
    </row>
    <row r="238" spans="1:21" x14ac:dyDescent="0.3">
      <c r="T238" s="388"/>
      <c r="U238" s="165"/>
    </row>
    <row r="239" spans="1:21" x14ac:dyDescent="0.3">
      <c r="T239" s="388"/>
      <c r="U239" s="165"/>
    </row>
    <row r="240" spans="1:21" x14ac:dyDescent="0.3">
      <c r="T240" s="388"/>
      <c r="U240" s="165"/>
    </row>
    <row r="241" spans="20:21" x14ac:dyDescent="0.3">
      <c r="T241" s="388"/>
      <c r="U241" s="165"/>
    </row>
    <row r="242" spans="20:21" x14ac:dyDescent="0.3">
      <c r="T242" s="388"/>
      <c r="U242" s="165"/>
    </row>
    <row r="243" spans="20:21" x14ac:dyDescent="0.3">
      <c r="T243" s="388"/>
      <c r="U243" s="165"/>
    </row>
    <row r="244" spans="20:21" x14ac:dyDescent="0.3">
      <c r="T244" s="388"/>
      <c r="U244" s="165"/>
    </row>
    <row r="245" spans="20:21" x14ac:dyDescent="0.3">
      <c r="T245" s="388"/>
      <c r="U245" s="165"/>
    </row>
    <row r="246" spans="20:21" x14ac:dyDescent="0.3">
      <c r="T246" s="388"/>
      <c r="U246" s="165"/>
    </row>
    <row r="247" spans="20:21" x14ac:dyDescent="0.3">
      <c r="T247" s="388"/>
      <c r="U247" s="165"/>
    </row>
  </sheetData>
  <mergeCells count="479">
    <mergeCell ref="G205:G207"/>
    <mergeCell ref="S205:S207"/>
    <mergeCell ref="T205:T207"/>
    <mergeCell ref="U205:U207"/>
    <mergeCell ref="A208:A212"/>
    <mergeCell ref="B208:B212"/>
    <mergeCell ref="C208:C212"/>
    <mergeCell ref="D208:D212"/>
    <mergeCell ref="E208:E212"/>
    <mergeCell ref="F208:F212"/>
    <mergeCell ref="A205:A207"/>
    <mergeCell ref="B205:B207"/>
    <mergeCell ref="C205:C207"/>
    <mergeCell ref="D205:D207"/>
    <mergeCell ref="E205:E207"/>
    <mergeCell ref="F205:F207"/>
    <mergeCell ref="G208:G212"/>
    <mergeCell ref="S208:S212"/>
    <mergeCell ref="T208:T212"/>
    <mergeCell ref="U208:U212"/>
    <mergeCell ref="T199:T200"/>
    <mergeCell ref="U199:U200"/>
    <mergeCell ref="A203:A204"/>
    <mergeCell ref="B203:B204"/>
    <mergeCell ref="E203:E204"/>
    <mergeCell ref="F203:F204"/>
    <mergeCell ref="G203:G204"/>
    <mergeCell ref="S203:S204"/>
    <mergeCell ref="T203:T204"/>
    <mergeCell ref="U203:U204"/>
    <mergeCell ref="A199:A200"/>
    <mergeCell ref="B199:B200"/>
    <mergeCell ref="E199:E200"/>
    <mergeCell ref="F199:F200"/>
    <mergeCell ref="G199:G200"/>
    <mergeCell ref="S199:S200"/>
    <mergeCell ref="T192:T196"/>
    <mergeCell ref="U192:U196"/>
    <mergeCell ref="A197:A198"/>
    <mergeCell ref="B197:B198"/>
    <mergeCell ref="E197:E198"/>
    <mergeCell ref="S197:S198"/>
    <mergeCell ref="T197:T198"/>
    <mergeCell ref="U197:U198"/>
    <mergeCell ref="T187:T190"/>
    <mergeCell ref="U187:U190"/>
    <mergeCell ref="C188:C189"/>
    <mergeCell ref="D188:D189"/>
    <mergeCell ref="A192:A196"/>
    <mergeCell ref="B192:B196"/>
    <mergeCell ref="E192:E196"/>
    <mergeCell ref="F192:F196"/>
    <mergeCell ref="G192:G196"/>
    <mergeCell ref="S192:S196"/>
    <mergeCell ref="A187:A190"/>
    <mergeCell ref="B187:B190"/>
    <mergeCell ref="E187:E190"/>
    <mergeCell ref="F187:F190"/>
    <mergeCell ref="G187:G190"/>
    <mergeCell ref="S187:S190"/>
    <mergeCell ref="U175:U180"/>
    <mergeCell ref="A181:A186"/>
    <mergeCell ref="B181:B186"/>
    <mergeCell ref="E181:E186"/>
    <mergeCell ref="F181:F186"/>
    <mergeCell ref="G181:G186"/>
    <mergeCell ref="S181:S186"/>
    <mergeCell ref="T181:T186"/>
    <mergeCell ref="U181:U186"/>
    <mergeCell ref="R183:R184"/>
    <mergeCell ref="A175:A180"/>
    <mergeCell ref="B175:B180"/>
    <mergeCell ref="E175:E180"/>
    <mergeCell ref="F175:F180"/>
    <mergeCell ref="G175:G180"/>
    <mergeCell ref="P175:P179"/>
    <mergeCell ref="S175:S180"/>
    <mergeCell ref="T175:T180"/>
    <mergeCell ref="E170:E171"/>
    <mergeCell ref="F170:F171"/>
    <mergeCell ref="G170:G171"/>
    <mergeCell ref="S170:S171"/>
    <mergeCell ref="A168:A169"/>
    <mergeCell ref="B168:B169"/>
    <mergeCell ref="E168:E169"/>
    <mergeCell ref="F168:F169"/>
    <mergeCell ref="G168:G169"/>
    <mergeCell ref="S168:S169"/>
    <mergeCell ref="T168:T169"/>
    <mergeCell ref="U168:U169"/>
    <mergeCell ref="T170:T171"/>
    <mergeCell ref="U170:U171"/>
    <mergeCell ref="S159:S161"/>
    <mergeCell ref="T159:T161"/>
    <mergeCell ref="U159:U161"/>
    <mergeCell ref="A164:A166"/>
    <mergeCell ref="B164:B166"/>
    <mergeCell ref="E164:E166"/>
    <mergeCell ref="F164:F166"/>
    <mergeCell ref="G164:G166"/>
    <mergeCell ref="P164:P165"/>
    <mergeCell ref="S164:S166"/>
    <mergeCell ref="A159:A161"/>
    <mergeCell ref="B159:B161"/>
    <mergeCell ref="E159:E161"/>
    <mergeCell ref="F159:F161"/>
    <mergeCell ref="G159:G161"/>
    <mergeCell ref="R159:R160"/>
    <mergeCell ref="T164:T166"/>
    <mergeCell ref="U164:U166"/>
    <mergeCell ref="A170:A171"/>
    <mergeCell ref="B170:B171"/>
    <mergeCell ref="T149:T151"/>
    <mergeCell ref="U149:U151"/>
    <mergeCell ref="A153:A155"/>
    <mergeCell ref="B153:B155"/>
    <mergeCell ref="E153:E155"/>
    <mergeCell ref="F153:F155"/>
    <mergeCell ref="G153:G155"/>
    <mergeCell ref="S153:S155"/>
    <mergeCell ref="T153:T155"/>
    <mergeCell ref="U153:U155"/>
    <mergeCell ref="A149:A151"/>
    <mergeCell ref="B149:B151"/>
    <mergeCell ref="E149:E151"/>
    <mergeCell ref="F149:F151"/>
    <mergeCell ref="G149:G151"/>
    <mergeCell ref="S149:S151"/>
    <mergeCell ref="U145:U146"/>
    <mergeCell ref="A147:A148"/>
    <mergeCell ref="B147:B148"/>
    <mergeCell ref="E147:E148"/>
    <mergeCell ref="R147:R148"/>
    <mergeCell ref="S147:S148"/>
    <mergeCell ref="T147:T148"/>
    <mergeCell ref="U147:U148"/>
    <mergeCell ref="S142:S144"/>
    <mergeCell ref="T142:T144"/>
    <mergeCell ref="U142:U144"/>
    <mergeCell ref="A145:A146"/>
    <mergeCell ref="B145:B146"/>
    <mergeCell ref="E145:E146"/>
    <mergeCell ref="F145:F146"/>
    <mergeCell ref="G145:G146"/>
    <mergeCell ref="S145:S146"/>
    <mergeCell ref="T145:T146"/>
    <mergeCell ref="A142:A144"/>
    <mergeCell ref="B142:B144"/>
    <mergeCell ref="E142:E144"/>
    <mergeCell ref="F142:F143"/>
    <mergeCell ref="G142:G143"/>
    <mergeCell ref="P142:P144"/>
    <mergeCell ref="Q137:Q140"/>
    <mergeCell ref="S137:S140"/>
    <mergeCell ref="T137:T140"/>
    <mergeCell ref="U137:U140"/>
    <mergeCell ref="F139:F140"/>
    <mergeCell ref="G139:G140"/>
    <mergeCell ref="A137:A140"/>
    <mergeCell ref="B137:B140"/>
    <mergeCell ref="E137:E140"/>
    <mergeCell ref="F137:F138"/>
    <mergeCell ref="G137:G138"/>
    <mergeCell ref="P137:P140"/>
    <mergeCell ref="Q133:Q136"/>
    <mergeCell ref="S133:S136"/>
    <mergeCell ref="T133:T136"/>
    <mergeCell ref="U133:U136"/>
    <mergeCell ref="C135:C136"/>
    <mergeCell ref="D135:D136"/>
    <mergeCell ref="A133:A136"/>
    <mergeCell ref="B133:B136"/>
    <mergeCell ref="E133:E136"/>
    <mergeCell ref="F133:F136"/>
    <mergeCell ref="G133:G136"/>
    <mergeCell ref="P133:P136"/>
    <mergeCell ref="A113:A114"/>
    <mergeCell ref="B113:B114"/>
    <mergeCell ref="E113:E114"/>
    <mergeCell ref="F113:F114"/>
    <mergeCell ref="G113:G114"/>
    <mergeCell ref="S113:S114"/>
    <mergeCell ref="T124:T125"/>
    <mergeCell ref="U124:U125"/>
    <mergeCell ref="A129:A131"/>
    <mergeCell ref="B129:B131"/>
    <mergeCell ref="E129:E131"/>
    <mergeCell ref="F129:F131"/>
    <mergeCell ref="G129:G131"/>
    <mergeCell ref="S129:S131"/>
    <mergeCell ref="T129:T131"/>
    <mergeCell ref="U129:U131"/>
    <mergeCell ref="A124:A125"/>
    <mergeCell ref="B124:B125"/>
    <mergeCell ref="E124:E125"/>
    <mergeCell ref="F124:F125"/>
    <mergeCell ref="G124:G125"/>
    <mergeCell ref="S124:S125"/>
    <mergeCell ref="A110:A111"/>
    <mergeCell ref="B110:B111"/>
    <mergeCell ref="E110:E111"/>
    <mergeCell ref="F110:F111"/>
    <mergeCell ref="G110:G111"/>
    <mergeCell ref="S110:S111"/>
    <mergeCell ref="T110:T111"/>
    <mergeCell ref="U110:U111"/>
    <mergeCell ref="A119:A120"/>
    <mergeCell ref="B119:B120"/>
    <mergeCell ref="E119:E120"/>
    <mergeCell ref="S119:S120"/>
    <mergeCell ref="T119:T120"/>
    <mergeCell ref="U119:U120"/>
    <mergeCell ref="T113:T114"/>
    <mergeCell ref="U113:U114"/>
    <mergeCell ref="A115:A116"/>
    <mergeCell ref="B115:B116"/>
    <mergeCell ref="E115:E116"/>
    <mergeCell ref="F115:F116"/>
    <mergeCell ref="G115:G116"/>
    <mergeCell ref="S115:S116"/>
    <mergeCell ref="T115:T116"/>
    <mergeCell ref="U115:U116"/>
    <mergeCell ref="S101:S106"/>
    <mergeCell ref="T101:T106"/>
    <mergeCell ref="U101:U106"/>
    <mergeCell ref="F103:F104"/>
    <mergeCell ref="A107:A108"/>
    <mergeCell ref="B107:B108"/>
    <mergeCell ref="E107:E108"/>
    <mergeCell ref="F107:F108"/>
    <mergeCell ref="S107:S108"/>
    <mergeCell ref="T107:T108"/>
    <mergeCell ref="A101:A106"/>
    <mergeCell ref="B101:B106"/>
    <mergeCell ref="E101:E106"/>
    <mergeCell ref="P101:P106"/>
    <mergeCell ref="Q101:Q106"/>
    <mergeCell ref="R101:R103"/>
    <mergeCell ref="U107:U108"/>
    <mergeCell ref="A99:A100"/>
    <mergeCell ref="B99:B100"/>
    <mergeCell ref="E99:E100"/>
    <mergeCell ref="G99:G100"/>
    <mergeCell ref="S99:S100"/>
    <mergeCell ref="T99:T100"/>
    <mergeCell ref="U99:U100"/>
    <mergeCell ref="A90:A97"/>
    <mergeCell ref="B90:B97"/>
    <mergeCell ref="E90:E97"/>
    <mergeCell ref="F90:F97"/>
    <mergeCell ref="P90:P97"/>
    <mergeCell ref="Q90:Q97"/>
    <mergeCell ref="A82:A83"/>
    <mergeCell ref="B82:B83"/>
    <mergeCell ref="E82:E83"/>
    <mergeCell ref="F82:F83"/>
    <mergeCell ref="G82:G83"/>
    <mergeCell ref="S82:S83"/>
    <mergeCell ref="T82:T83"/>
    <mergeCell ref="U82:U83"/>
    <mergeCell ref="S90:S97"/>
    <mergeCell ref="T90:T97"/>
    <mergeCell ref="U90:U97"/>
    <mergeCell ref="A75:A78"/>
    <mergeCell ref="B75:B78"/>
    <mergeCell ref="E75:E78"/>
    <mergeCell ref="F75:F78"/>
    <mergeCell ref="G75:G78"/>
    <mergeCell ref="S75:S78"/>
    <mergeCell ref="T75:T78"/>
    <mergeCell ref="U75:U78"/>
    <mergeCell ref="A79:A80"/>
    <mergeCell ref="B79:B80"/>
    <mergeCell ref="E79:E80"/>
    <mergeCell ref="F79:F80"/>
    <mergeCell ref="G79:G80"/>
    <mergeCell ref="P79:P80"/>
    <mergeCell ref="Q79:Q80"/>
    <mergeCell ref="S79:S80"/>
    <mergeCell ref="T79:T80"/>
    <mergeCell ref="U79:U80"/>
    <mergeCell ref="T66:T67"/>
    <mergeCell ref="U66:U67"/>
    <mergeCell ref="A71:A73"/>
    <mergeCell ref="B71:B73"/>
    <mergeCell ref="E71:E73"/>
    <mergeCell ref="F71:F73"/>
    <mergeCell ref="G71:G73"/>
    <mergeCell ref="P71:P73"/>
    <mergeCell ref="S71:S73"/>
    <mergeCell ref="T71:T73"/>
    <mergeCell ref="U71:U73"/>
    <mergeCell ref="A66:A67"/>
    <mergeCell ref="B66:B67"/>
    <mergeCell ref="E66:E67"/>
    <mergeCell ref="F66:F67"/>
    <mergeCell ref="G66:G67"/>
    <mergeCell ref="P66:P67"/>
    <mergeCell ref="Q66:Q67"/>
    <mergeCell ref="R66:R67"/>
    <mergeCell ref="S66:S67"/>
    <mergeCell ref="Q55:Q58"/>
    <mergeCell ref="S55:S58"/>
    <mergeCell ref="T55:T58"/>
    <mergeCell ref="U55:U58"/>
    <mergeCell ref="R57:R58"/>
    <mergeCell ref="A60:A62"/>
    <mergeCell ref="B60:B62"/>
    <mergeCell ref="E60:E62"/>
    <mergeCell ref="F60:F61"/>
    <mergeCell ref="G60:G61"/>
    <mergeCell ref="A55:A58"/>
    <mergeCell ref="B55:B58"/>
    <mergeCell ref="E55:E58"/>
    <mergeCell ref="F55:F56"/>
    <mergeCell ref="G55:G57"/>
    <mergeCell ref="P55:P58"/>
    <mergeCell ref="S60:S62"/>
    <mergeCell ref="T60:T62"/>
    <mergeCell ref="U60:U62"/>
    <mergeCell ref="R61:R62"/>
    <mergeCell ref="Q50:Q54"/>
    <mergeCell ref="S50:S54"/>
    <mergeCell ref="T50:T54"/>
    <mergeCell ref="U50:U54"/>
    <mergeCell ref="R51:R53"/>
    <mergeCell ref="F53:F54"/>
    <mergeCell ref="A50:A54"/>
    <mergeCell ref="B50:B54"/>
    <mergeCell ref="E50:E54"/>
    <mergeCell ref="F50:F51"/>
    <mergeCell ref="G50:G54"/>
    <mergeCell ref="P50:P54"/>
    <mergeCell ref="U44:U47"/>
    <mergeCell ref="A48:A49"/>
    <mergeCell ref="B48:B49"/>
    <mergeCell ref="E48:E49"/>
    <mergeCell ref="F48:F49"/>
    <mergeCell ref="G48:G49"/>
    <mergeCell ref="S48:S49"/>
    <mergeCell ref="T48:T49"/>
    <mergeCell ref="U48:U49"/>
    <mergeCell ref="A44:A47"/>
    <mergeCell ref="B44:B47"/>
    <mergeCell ref="E44:E47"/>
    <mergeCell ref="F44:F47"/>
    <mergeCell ref="G44:G47"/>
    <mergeCell ref="P44:P47"/>
    <mergeCell ref="Q44:Q47"/>
    <mergeCell ref="S44:S47"/>
    <mergeCell ref="T44:T47"/>
    <mergeCell ref="U39:U40"/>
    <mergeCell ref="A42:A43"/>
    <mergeCell ref="B42:B43"/>
    <mergeCell ref="E42:E43"/>
    <mergeCell ref="F42:F43"/>
    <mergeCell ref="G42:G43"/>
    <mergeCell ref="S42:S43"/>
    <mergeCell ref="T42:T43"/>
    <mergeCell ref="U42:U43"/>
    <mergeCell ref="A39:A40"/>
    <mergeCell ref="B39:B40"/>
    <mergeCell ref="E39:E40"/>
    <mergeCell ref="F39:F40"/>
    <mergeCell ref="G39:G40"/>
    <mergeCell ref="P39:P40"/>
    <mergeCell ref="Q39:Q40"/>
    <mergeCell ref="S39:S40"/>
    <mergeCell ref="T39:T40"/>
    <mergeCell ref="Q33:Q34"/>
    <mergeCell ref="S33:S34"/>
    <mergeCell ref="T33:T34"/>
    <mergeCell ref="U33:U34"/>
    <mergeCell ref="A37:A38"/>
    <mergeCell ref="B37:B38"/>
    <mergeCell ref="E37:E38"/>
    <mergeCell ref="F37:F38"/>
    <mergeCell ref="G37:G38"/>
    <mergeCell ref="P37:P38"/>
    <mergeCell ref="A33:A34"/>
    <mergeCell ref="B33:B34"/>
    <mergeCell ref="E33:E34"/>
    <mergeCell ref="F33:F34"/>
    <mergeCell ref="G33:G34"/>
    <mergeCell ref="P33:P34"/>
    <mergeCell ref="Q37:Q38"/>
    <mergeCell ref="S37:S38"/>
    <mergeCell ref="T37:T38"/>
    <mergeCell ref="U37:U38"/>
    <mergeCell ref="U21:U32"/>
    <mergeCell ref="F22:F31"/>
    <mergeCell ref="C28:C29"/>
    <mergeCell ref="D28:D29"/>
    <mergeCell ref="C30:C31"/>
    <mergeCell ref="D30:D31"/>
    <mergeCell ref="S17:S20"/>
    <mergeCell ref="T17:T20"/>
    <mergeCell ref="U17:U20"/>
    <mergeCell ref="A21:A32"/>
    <mergeCell ref="B21:B32"/>
    <mergeCell ref="E21:E32"/>
    <mergeCell ref="G21:G32"/>
    <mergeCell ref="R21:R22"/>
    <mergeCell ref="S21:S32"/>
    <mergeCell ref="T21:T32"/>
    <mergeCell ref="R14:R16"/>
    <mergeCell ref="S14:S16"/>
    <mergeCell ref="T14:T16"/>
    <mergeCell ref="T11:T13"/>
    <mergeCell ref="U11:U13"/>
    <mergeCell ref="C12:C13"/>
    <mergeCell ref="D12:D13"/>
    <mergeCell ref="F12:F13"/>
    <mergeCell ref="P11:P12"/>
    <mergeCell ref="U14:U16"/>
    <mergeCell ref="A17:A20"/>
    <mergeCell ref="B17:B20"/>
    <mergeCell ref="E17:E20"/>
    <mergeCell ref="F17:F19"/>
    <mergeCell ref="G17:G20"/>
    <mergeCell ref="P17:P18"/>
    <mergeCell ref="A14:A16"/>
    <mergeCell ref="B14:B16"/>
    <mergeCell ref="E14:E16"/>
    <mergeCell ref="G14:G16"/>
    <mergeCell ref="P14:P16"/>
    <mergeCell ref="Q14:Q16"/>
    <mergeCell ref="H11:H12"/>
    <mergeCell ref="I11:I12"/>
    <mergeCell ref="K11:K12"/>
    <mergeCell ref="L11:L12"/>
    <mergeCell ref="O11:O12"/>
    <mergeCell ref="A11:A13"/>
    <mergeCell ref="B11:B13"/>
    <mergeCell ref="E11:E13"/>
    <mergeCell ref="G11:G13"/>
    <mergeCell ref="F7:F10"/>
    <mergeCell ref="G7:G10"/>
    <mergeCell ref="P7:P10"/>
    <mergeCell ref="S11:S13"/>
    <mergeCell ref="S7:S10"/>
    <mergeCell ref="D7:D8"/>
    <mergeCell ref="E7:E10"/>
    <mergeCell ref="C9:C10"/>
    <mergeCell ref="D9:D10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D219:F219"/>
    <mergeCell ref="D222:I222"/>
    <mergeCell ref="D223:I223"/>
    <mergeCell ref="B225:I225"/>
    <mergeCell ref="A1:U1"/>
    <mergeCell ref="A2:A5"/>
    <mergeCell ref="B2:B5"/>
    <mergeCell ref="C2:Q2"/>
    <mergeCell ref="R2:R3"/>
    <mergeCell ref="S2:S5"/>
    <mergeCell ref="I4:J4"/>
    <mergeCell ref="K4:K5"/>
    <mergeCell ref="L4:L5"/>
    <mergeCell ref="M4:M5"/>
    <mergeCell ref="T7:T10"/>
    <mergeCell ref="U7:U10"/>
    <mergeCell ref="N4:N5"/>
    <mergeCell ref="O4:O5"/>
    <mergeCell ref="P4:P5"/>
    <mergeCell ref="Q4:Q5"/>
    <mergeCell ref="R4:R5"/>
    <mergeCell ref="A7:A10"/>
    <mergeCell ref="B7:B10"/>
    <mergeCell ref="C7:C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D722E-47C6-470A-A779-69B2530118B7}">
  <dimension ref="A1:AF186"/>
  <sheetViews>
    <sheetView workbookViewId="0">
      <selection activeCell="V5" sqref="V5"/>
    </sheetView>
  </sheetViews>
  <sheetFormatPr defaultRowHeight="14.4" x14ac:dyDescent="0.3"/>
  <cols>
    <col min="1" max="1" width="16.109375" customWidth="1"/>
    <col min="2" max="2" width="30.44140625" style="135" customWidth="1"/>
    <col min="3" max="3" width="10.6640625" style="135" customWidth="1"/>
    <col min="4" max="5" width="8.88671875" style="135"/>
    <col min="6" max="6" width="12.6640625" style="135" customWidth="1"/>
    <col min="7" max="7" width="8.88671875" style="135"/>
    <col min="8" max="8" width="10.6640625" style="135" customWidth="1"/>
    <col min="9" max="9" width="18.109375" style="135" customWidth="1"/>
    <col min="10" max="10" width="11.33203125" style="135" customWidth="1"/>
    <col min="11" max="11" width="8.88671875" style="135"/>
    <col min="12" max="12" width="10.5546875" style="135" customWidth="1"/>
    <col min="13" max="13" width="13.44140625" style="135" customWidth="1"/>
    <col min="14" max="14" width="13.109375" style="135" customWidth="1"/>
    <col min="15" max="15" width="12.6640625" style="135" customWidth="1"/>
    <col min="16" max="16" width="8.88671875" style="135"/>
    <col min="17" max="17" width="17.44140625" style="135" customWidth="1"/>
    <col min="18" max="18" width="14" style="135" customWidth="1"/>
    <col min="19" max="19" width="19" style="135" customWidth="1"/>
    <col min="20" max="20" width="45.6640625" style="350" customWidth="1"/>
    <col min="21" max="21" width="40.88671875" style="350" customWidth="1"/>
  </cols>
  <sheetData>
    <row r="1" spans="1:21" ht="18" thickBot="1" x14ac:dyDescent="0.35">
      <c r="A1" s="589" t="s">
        <v>2662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15" thickBot="1" x14ac:dyDescent="0.35">
      <c r="A2" s="1013" t="s">
        <v>1</v>
      </c>
      <c r="B2" s="1015" t="s">
        <v>2</v>
      </c>
      <c r="C2" s="1017" t="s">
        <v>3</v>
      </c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9"/>
      <c r="R2" s="1015" t="s">
        <v>4</v>
      </c>
      <c r="S2" s="1021" t="s">
        <v>5</v>
      </c>
      <c r="T2" s="1023" t="s">
        <v>207</v>
      </c>
      <c r="U2" s="1023" t="s">
        <v>7</v>
      </c>
    </row>
    <row r="3" spans="1:21" ht="39" customHeight="1" thickBot="1" x14ac:dyDescent="0.35">
      <c r="A3" s="1014"/>
      <c r="B3" s="1016"/>
      <c r="C3" s="1027" t="s">
        <v>8</v>
      </c>
      <c r="D3" s="1028"/>
      <c r="E3" s="1028"/>
      <c r="F3" s="1028"/>
      <c r="G3" s="1029"/>
      <c r="H3" s="1027" t="s">
        <v>9</v>
      </c>
      <c r="I3" s="1028"/>
      <c r="J3" s="1028"/>
      <c r="K3" s="1028"/>
      <c r="L3" s="1028"/>
      <c r="M3" s="1028"/>
      <c r="N3" s="1028"/>
      <c r="O3" s="1029"/>
      <c r="P3" s="1027" t="s">
        <v>10</v>
      </c>
      <c r="Q3" s="1029"/>
      <c r="R3" s="1020"/>
      <c r="S3" s="1022"/>
      <c r="T3" s="1024"/>
      <c r="U3" s="1024"/>
    </row>
    <row r="4" spans="1:21" ht="15" thickBot="1" x14ac:dyDescent="0.35">
      <c r="A4" s="1014"/>
      <c r="B4" s="1016"/>
      <c r="C4" s="1027" t="s">
        <v>11</v>
      </c>
      <c r="D4" s="1029"/>
      <c r="E4" s="1030" t="s">
        <v>12</v>
      </c>
      <c r="F4" s="1030" t="s">
        <v>13</v>
      </c>
      <c r="G4" s="1030" t="s">
        <v>14</v>
      </c>
      <c r="H4" s="1030" t="s">
        <v>15</v>
      </c>
      <c r="I4" s="1027" t="s">
        <v>16</v>
      </c>
      <c r="J4" s="1029"/>
      <c r="K4" s="1030" t="s">
        <v>17</v>
      </c>
      <c r="L4" s="1030" t="s">
        <v>13</v>
      </c>
      <c r="M4" s="1030" t="s">
        <v>18</v>
      </c>
      <c r="N4" s="1030" t="s">
        <v>19</v>
      </c>
      <c r="O4" s="1030" t="s">
        <v>210</v>
      </c>
      <c r="P4" s="1030" t="s">
        <v>20</v>
      </c>
      <c r="Q4" s="1030" t="s">
        <v>17</v>
      </c>
      <c r="R4" s="1030" t="s">
        <v>21</v>
      </c>
      <c r="S4" s="1022"/>
      <c r="T4" s="1024"/>
      <c r="U4" s="1024"/>
    </row>
    <row r="5" spans="1:21" ht="48" customHeight="1" thickBot="1" x14ac:dyDescent="0.35">
      <c r="A5" s="1014"/>
      <c r="B5" s="1016"/>
      <c r="C5" s="315" t="s">
        <v>22</v>
      </c>
      <c r="D5" s="315" t="s">
        <v>23</v>
      </c>
      <c r="E5" s="1016"/>
      <c r="F5" s="1016"/>
      <c r="G5" s="1016"/>
      <c r="H5" s="1016"/>
      <c r="I5" s="315" t="s">
        <v>24</v>
      </c>
      <c r="J5" s="315" t="s">
        <v>25</v>
      </c>
      <c r="K5" s="1016"/>
      <c r="L5" s="1016"/>
      <c r="M5" s="1016"/>
      <c r="N5" s="1016"/>
      <c r="O5" s="1016"/>
      <c r="P5" s="1016"/>
      <c r="Q5" s="1016"/>
      <c r="R5" s="1016"/>
      <c r="S5" s="1022"/>
      <c r="T5" s="1024"/>
      <c r="U5" s="1024"/>
    </row>
    <row r="6" spans="1:21" ht="15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258">
        <v>21</v>
      </c>
    </row>
    <row r="7" spans="1:21" x14ac:dyDescent="0.3">
      <c r="A7" s="604" t="s">
        <v>2663</v>
      </c>
      <c r="B7" s="963" t="s">
        <v>46</v>
      </c>
      <c r="C7" s="30">
        <v>0</v>
      </c>
      <c r="D7" s="30">
        <v>0.72</v>
      </c>
      <c r="E7" s="610">
        <v>1.35</v>
      </c>
      <c r="F7" s="727">
        <v>4560</v>
      </c>
      <c r="G7" s="34" t="s">
        <v>368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640">
        <v>70740040309</v>
      </c>
      <c r="S7" s="640" t="s">
        <v>2664</v>
      </c>
      <c r="T7" s="641" t="s">
        <v>2665</v>
      </c>
      <c r="U7" s="642"/>
    </row>
    <row r="8" spans="1:21" x14ac:dyDescent="0.3">
      <c r="A8" s="605"/>
      <c r="B8" s="970"/>
      <c r="C8" s="611">
        <v>0.72</v>
      </c>
      <c r="D8" s="611">
        <f>1.35</f>
        <v>1.35</v>
      </c>
      <c r="E8" s="611"/>
      <c r="F8" s="728"/>
      <c r="G8" s="621" t="s">
        <v>1688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621"/>
      <c r="S8" s="621"/>
      <c r="T8" s="633"/>
      <c r="U8" s="636"/>
    </row>
    <row r="9" spans="1:21" x14ac:dyDescent="0.3">
      <c r="A9" s="605"/>
      <c r="B9" s="970"/>
      <c r="C9" s="611"/>
      <c r="D9" s="611"/>
      <c r="E9" s="611"/>
      <c r="F9" s="728"/>
      <c r="G9" s="621"/>
      <c r="H9" s="13"/>
      <c r="I9" s="13"/>
      <c r="J9" s="13"/>
      <c r="K9" s="13"/>
      <c r="L9" s="13"/>
      <c r="M9" s="13"/>
      <c r="N9" s="13"/>
      <c r="O9" s="13"/>
      <c r="P9" s="13"/>
      <c r="Q9" s="13"/>
      <c r="R9" s="621"/>
      <c r="S9" s="621"/>
      <c r="T9" s="633"/>
      <c r="U9" s="636"/>
    </row>
    <row r="10" spans="1:21" x14ac:dyDescent="0.3">
      <c r="A10" s="605"/>
      <c r="B10" s="970"/>
      <c r="C10" s="611"/>
      <c r="D10" s="611"/>
      <c r="E10" s="611"/>
      <c r="F10" s="728"/>
      <c r="G10" s="621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 t="s">
        <v>2666</v>
      </c>
      <c r="S10" s="621"/>
      <c r="T10" s="633"/>
      <c r="U10" s="636"/>
    </row>
    <row r="11" spans="1:21" x14ac:dyDescent="0.3">
      <c r="A11" s="605"/>
      <c r="B11" s="970"/>
      <c r="C11" s="611"/>
      <c r="D11" s="611"/>
      <c r="E11" s="611"/>
      <c r="F11" s="728"/>
      <c r="G11" s="621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 t="s">
        <v>2666</v>
      </c>
      <c r="S11" s="621"/>
      <c r="T11" s="633"/>
      <c r="U11" s="636"/>
    </row>
    <row r="12" spans="1:21" x14ac:dyDescent="0.3">
      <c r="A12" s="605"/>
      <c r="B12" s="970"/>
      <c r="C12" s="611"/>
      <c r="D12" s="611"/>
      <c r="E12" s="611"/>
      <c r="F12" s="728"/>
      <c r="G12" s="621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 t="s">
        <v>2667</v>
      </c>
      <c r="S12" s="621"/>
      <c r="T12" s="633"/>
      <c r="U12" s="636"/>
    </row>
    <row r="13" spans="1:21" x14ac:dyDescent="0.3">
      <c r="A13" s="605"/>
      <c r="B13" s="970"/>
      <c r="C13" s="611"/>
      <c r="D13" s="611"/>
      <c r="E13" s="611"/>
      <c r="F13" s="728"/>
      <c r="G13" s="621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 t="s">
        <v>2668</v>
      </c>
      <c r="S13" s="621"/>
      <c r="T13" s="633"/>
      <c r="U13" s="636"/>
    </row>
    <row r="14" spans="1:21" x14ac:dyDescent="0.3">
      <c r="A14" s="605"/>
      <c r="B14" s="970"/>
      <c r="C14" s="611"/>
      <c r="D14" s="611"/>
      <c r="E14" s="611"/>
      <c r="F14" s="728"/>
      <c r="G14" s="621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 t="s">
        <v>2666</v>
      </c>
      <c r="S14" s="621"/>
      <c r="T14" s="633"/>
      <c r="U14" s="636"/>
    </row>
    <row r="15" spans="1:21" x14ac:dyDescent="0.3">
      <c r="A15" s="605"/>
      <c r="B15" s="970"/>
      <c r="C15" s="611"/>
      <c r="D15" s="611"/>
      <c r="E15" s="611"/>
      <c r="F15" s="728"/>
      <c r="G15" s="62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 t="s">
        <v>2667</v>
      </c>
      <c r="S15" s="621"/>
      <c r="T15" s="633"/>
      <c r="U15" s="636"/>
    </row>
    <row r="16" spans="1:21" x14ac:dyDescent="0.3">
      <c r="A16" s="605"/>
      <c r="B16" s="970"/>
      <c r="C16" s="611"/>
      <c r="D16" s="611"/>
      <c r="E16" s="611"/>
      <c r="F16" s="728"/>
      <c r="G16" s="621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 t="s">
        <v>2669</v>
      </c>
      <c r="S16" s="621"/>
      <c r="T16" s="633"/>
      <c r="U16" s="636"/>
    </row>
    <row r="17" spans="1:21" x14ac:dyDescent="0.3">
      <c r="A17" s="605"/>
      <c r="B17" s="970"/>
      <c r="C17" s="611"/>
      <c r="D17" s="611"/>
      <c r="E17" s="611"/>
      <c r="F17" s="728"/>
      <c r="G17" s="621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 t="s">
        <v>2670</v>
      </c>
      <c r="S17" s="621"/>
      <c r="T17" s="633"/>
      <c r="U17" s="636"/>
    </row>
    <row r="18" spans="1:21" x14ac:dyDescent="0.3">
      <c r="A18" s="605"/>
      <c r="B18" s="970"/>
      <c r="C18" s="611"/>
      <c r="D18" s="611"/>
      <c r="E18" s="611"/>
      <c r="F18" s="728"/>
      <c r="G18" s="621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 t="s">
        <v>2671</v>
      </c>
      <c r="S18" s="621"/>
      <c r="T18" s="633"/>
      <c r="U18" s="636"/>
    </row>
    <row r="19" spans="1:21" ht="15" thickBot="1" x14ac:dyDescent="0.35">
      <c r="A19" s="606"/>
      <c r="B19" s="964"/>
      <c r="C19" s="612"/>
      <c r="D19" s="612"/>
      <c r="E19" s="612"/>
      <c r="F19" s="729"/>
      <c r="G19" s="631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 t="s">
        <v>2670</v>
      </c>
      <c r="S19" s="631"/>
      <c r="T19" s="634"/>
      <c r="U19" s="637"/>
    </row>
    <row r="20" spans="1:21" ht="24.6" thickBot="1" x14ac:dyDescent="0.35">
      <c r="A20" s="55" t="s">
        <v>2672</v>
      </c>
      <c r="B20" s="524" t="s">
        <v>944</v>
      </c>
      <c r="C20" s="56">
        <v>0</v>
      </c>
      <c r="D20" s="56">
        <v>0.66900000000000004</v>
      </c>
      <c r="E20" s="56">
        <v>0.67</v>
      </c>
      <c r="F20" s="94">
        <v>4140</v>
      </c>
      <c r="G20" s="94" t="s">
        <v>1688</v>
      </c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>
        <v>70740040314</v>
      </c>
      <c r="S20" s="94" t="s">
        <v>2664</v>
      </c>
      <c r="T20" s="57" t="s">
        <v>2665</v>
      </c>
      <c r="U20" s="58"/>
    </row>
    <row r="21" spans="1:21" x14ac:dyDescent="0.3">
      <c r="A21" s="604" t="s">
        <v>2673</v>
      </c>
      <c r="B21" s="963" t="s">
        <v>247</v>
      </c>
      <c r="C21" s="30">
        <v>0</v>
      </c>
      <c r="D21" s="30">
        <v>0.09</v>
      </c>
      <c r="E21" s="610">
        <v>0.65</v>
      </c>
      <c r="F21" s="34">
        <v>750</v>
      </c>
      <c r="G21" s="34" t="s">
        <v>1688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640">
        <v>70740040318</v>
      </c>
      <c r="S21" s="640" t="s">
        <v>2664</v>
      </c>
      <c r="T21" s="641" t="s">
        <v>2665</v>
      </c>
      <c r="U21" s="642"/>
    </row>
    <row r="22" spans="1:21" ht="15" thickBot="1" x14ac:dyDescent="0.35">
      <c r="A22" s="606"/>
      <c r="B22" s="964"/>
      <c r="C22" s="16">
        <v>0.09</v>
      </c>
      <c r="D22" s="16">
        <v>0.65</v>
      </c>
      <c r="E22" s="612"/>
      <c r="F22" s="19">
        <v>4060</v>
      </c>
      <c r="G22" s="19" t="s">
        <v>32</v>
      </c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631"/>
      <c r="S22" s="631"/>
      <c r="T22" s="634"/>
      <c r="U22" s="637"/>
    </row>
    <row r="23" spans="1:21" x14ac:dyDescent="0.3">
      <c r="A23" s="604" t="s">
        <v>2674</v>
      </c>
      <c r="B23" s="963" t="s">
        <v>2675</v>
      </c>
      <c r="C23" s="30">
        <v>0</v>
      </c>
      <c r="D23" s="30">
        <v>0.04</v>
      </c>
      <c r="E23" s="610">
        <v>0.25</v>
      </c>
      <c r="F23" s="640">
        <v>1200</v>
      </c>
      <c r="G23" s="640" t="s">
        <v>368</v>
      </c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 t="s">
        <v>2676</v>
      </c>
      <c r="S23" s="640" t="s">
        <v>2664</v>
      </c>
      <c r="T23" s="641" t="s">
        <v>2665</v>
      </c>
      <c r="U23" s="642"/>
    </row>
    <row r="24" spans="1:21" x14ac:dyDescent="0.3">
      <c r="A24" s="605"/>
      <c r="B24" s="970"/>
      <c r="C24" s="611">
        <v>0.04</v>
      </c>
      <c r="D24" s="611">
        <v>0.08</v>
      </c>
      <c r="E24" s="611"/>
      <c r="F24" s="621"/>
      <c r="G24" s="621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 t="s">
        <v>2677</v>
      </c>
      <c r="S24" s="621"/>
      <c r="T24" s="633"/>
      <c r="U24" s="636"/>
    </row>
    <row r="25" spans="1:21" x14ac:dyDescent="0.3">
      <c r="A25" s="605"/>
      <c r="B25" s="970"/>
      <c r="C25" s="611"/>
      <c r="D25" s="611"/>
      <c r="E25" s="611"/>
      <c r="F25" s="621"/>
      <c r="G25" s="621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 t="s">
        <v>2678</v>
      </c>
      <c r="S25" s="621"/>
      <c r="T25" s="633"/>
      <c r="U25" s="636"/>
    </row>
    <row r="26" spans="1:21" x14ac:dyDescent="0.3">
      <c r="A26" s="605"/>
      <c r="B26" s="970"/>
      <c r="C26" s="611">
        <v>0.08</v>
      </c>
      <c r="D26" s="611">
        <v>0.25</v>
      </c>
      <c r="E26" s="611"/>
      <c r="F26" s="621"/>
      <c r="G26" s="621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>
        <v>70740040319</v>
      </c>
      <c r="S26" s="621"/>
      <c r="T26" s="633"/>
      <c r="U26" s="636"/>
    </row>
    <row r="27" spans="1:21" x14ac:dyDescent="0.3">
      <c r="A27" s="605"/>
      <c r="B27" s="970"/>
      <c r="C27" s="611"/>
      <c r="D27" s="611"/>
      <c r="E27" s="611"/>
      <c r="F27" s="621"/>
      <c r="G27" s="621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 t="s">
        <v>2679</v>
      </c>
      <c r="S27" s="621"/>
      <c r="T27" s="633"/>
      <c r="U27" s="636"/>
    </row>
    <row r="28" spans="1:21" ht="15" thickBot="1" x14ac:dyDescent="0.35">
      <c r="A28" s="606"/>
      <c r="B28" s="964"/>
      <c r="C28" s="612"/>
      <c r="D28" s="612"/>
      <c r="E28" s="612"/>
      <c r="F28" s="631"/>
      <c r="G28" s="631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 t="s">
        <v>2680</v>
      </c>
      <c r="S28" s="631"/>
      <c r="T28" s="634"/>
      <c r="U28" s="637"/>
    </row>
    <row r="29" spans="1:21" ht="24.6" thickBot="1" x14ac:dyDescent="0.35">
      <c r="A29" s="22" t="s">
        <v>2681</v>
      </c>
      <c r="B29" s="305" t="s">
        <v>2682</v>
      </c>
      <c r="C29" s="24">
        <v>0</v>
      </c>
      <c r="D29" s="24">
        <v>0.16</v>
      </c>
      <c r="E29" s="24">
        <v>0.16</v>
      </c>
      <c r="F29" s="27">
        <v>2480</v>
      </c>
      <c r="G29" s="27" t="s">
        <v>368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>
        <v>70740040359</v>
      </c>
      <c r="S29" s="27" t="s">
        <v>2664</v>
      </c>
      <c r="T29" s="3" t="s">
        <v>2665</v>
      </c>
      <c r="U29" s="5"/>
    </row>
    <row r="30" spans="1:21" x14ac:dyDescent="0.3">
      <c r="A30" s="688" t="s">
        <v>2683</v>
      </c>
      <c r="B30" s="607" t="s">
        <v>2684</v>
      </c>
      <c r="C30" s="381">
        <v>0</v>
      </c>
      <c r="D30" s="30">
        <v>0.32800000000000001</v>
      </c>
      <c r="E30" s="610">
        <v>7.6639999999999997</v>
      </c>
      <c r="F30" s="641">
        <v>45960</v>
      </c>
      <c r="G30" s="641" t="s">
        <v>32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>
        <v>70740040117</v>
      </c>
      <c r="S30" s="641"/>
      <c r="T30" s="641" t="s">
        <v>2665</v>
      </c>
      <c r="U30" s="642"/>
    </row>
    <row r="31" spans="1:21" x14ac:dyDescent="0.3">
      <c r="A31" s="690"/>
      <c r="B31" s="608"/>
      <c r="C31" s="10">
        <v>0.33</v>
      </c>
      <c r="D31" s="10">
        <v>0.56100000000000005</v>
      </c>
      <c r="E31" s="611"/>
      <c r="F31" s="633"/>
      <c r="G31" s="6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 t="s">
        <v>2685</v>
      </c>
      <c r="S31" s="633"/>
      <c r="T31" s="633"/>
      <c r="U31" s="636"/>
    </row>
    <row r="32" spans="1:21" x14ac:dyDescent="0.3">
      <c r="A32" s="690"/>
      <c r="B32" s="608"/>
      <c r="C32" s="10">
        <v>0.56100000000000005</v>
      </c>
      <c r="D32" s="10">
        <v>0.79800000000000004</v>
      </c>
      <c r="E32" s="611"/>
      <c r="F32" s="633"/>
      <c r="G32" s="6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>
        <v>70740040436</v>
      </c>
      <c r="S32" s="633"/>
      <c r="T32" s="633"/>
      <c r="U32" s="636"/>
    </row>
    <row r="33" spans="1:21" x14ac:dyDescent="0.3">
      <c r="A33" s="690"/>
      <c r="B33" s="608"/>
      <c r="C33" s="10">
        <v>0.79800000000000004</v>
      </c>
      <c r="D33" s="10">
        <v>1.1539999999999999</v>
      </c>
      <c r="E33" s="611"/>
      <c r="F33" s="633"/>
      <c r="G33" s="63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>
        <v>70740040411</v>
      </c>
      <c r="S33" s="633"/>
      <c r="T33" s="633"/>
      <c r="U33" s="636"/>
    </row>
    <row r="34" spans="1:21" x14ac:dyDescent="0.3">
      <c r="A34" s="690"/>
      <c r="B34" s="608"/>
      <c r="C34" s="10">
        <f>D33</f>
        <v>1.1539999999999999</v>
      </c>
      <c r="D34" s="10">
        <v>2.839</v>
      </c>
      <c r="E34" s="611"/>
      <c r="F34" s="633"/>
      <c r="G34" s="63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373" t="s">
        <v>2686</v>
      </c>
      <c r="S34" s="633"/>
      <c r="T34" s="633"/>
      <c r="U34" s="636"/>
    </row>
    <row r="35" spans="1:21" x14ac:dyDescent="0.3">
      <c r="A35" s="690"/>
      <c r="B35" s="608"/>
      <c r="C35" s="10">
        <f>D34</f>
        <v>2.839</v>
      </c>
      <c r="D35" s="10">
        <v>3.2930000000000001</v>
      </c>
      <c r="E35" s="611"/>
      <c r="F35" s="633"/>
      <c r="G35" s="63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>
        <v>70740060070</v>
      </c>
      <c r="S35" s="633"/>
      <c r="T35" s="633"/>
      <c r="U35" s="636"/>
    </row>
    <row r="36" spans="1:21" x14ac:dyDescent="0.3">
      <c r="A36" s="690"/>
      <c r="B36" s="608"/>
      <c r="C36" s="10">
        <v>3.2930000000000001</v>
      </c>
      <c r="D36" s="10">
        <v>3.69</v>
      </c>
      <c r="E36" s="611"/>
      <c r="F36" s="633"/>
      <c r="G36" s="63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 t="s">
        <v>2687</v>
      </c>
      <c r="S36" s="633"/>
      <c r="T36" s="633"/>
      <c r="U36" s="636"/>
    </row>
    <row r="37" spans="1:21" x14ac:dyDescent="0.3">
      <c r="A37" s="690"/>
      <c r="B37" s="608"/>
      <c r="C37" s="10">
        <v>3.69</v>
      </c>
      <c r="D37" s="10">
        <v>5.4240000000000004</v>
      </c>
      <c r="E37" s="611"/>
      <c r="F37" s="633"/>
      <c r="G37" s="63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>
        <v>70740060069</v>
      </c>
      <c r="S37" s="633"/>
      <c r="T37" s="633"/>
      <c r="U37" s="636"/>
    </row>
    <row r="38" spans="1:21" x14ac:dyDescent="0.3">
      <c r="A38" s="690"/>
      <c r="B38" s="608"/>
      <c r="C38" s="10">
        <v>5.4240000000000004</v>
      </c>
      <c r="D38" s="10">
        <v>5.8540000000000001</v>
      </c>
      <c r="E38" s="611"/>
      <c r="F38" s="633"/>
      <c r="G38" s="63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 t="s">
        <v>2688</v>
      </c>
      <c r="S38" s="633"/>
      <c r="T38" s="633"/>
      <c r="U38" s="636"/>
    </row>
    <row r="39" spans="1:21" ht="15" thickBot="1" x14ac:dyDescent="0.35">
      <c r="A39" s="689"/>
      <c r="B39" s="609"/>
      <c r="C39" s="10">
        <v>5.8540000000000001</v>
      </c>
      <c r="D39" s="16">
        <v>7.6639999999999997</v>
      </c>
      <c r="E39" s="612"/>
      <c r="F39" s="634"/>
      <c r="G39" s="634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>
        <v>70740060043</v>
      </c>
      <c r="S39" s="634"/>
      <c r="T39" s="634"/>
      <c r="U39" s="637"/>
    </row>
    <row r="40" spans="1:21" ht="24" x14ac:dyDescent="0.3">
      <c r="A40" s="604" t="s">
        <v>2689</v>
      </c>
      <c r="B40" s="963" t="s">
        <v>2690</v>
      </c>
      <c r="C40" s="30">
        <v>0</v>
      </c>
      <c r="D40" s="30">
        <v>1.3180000000000001</v>
      </c>
      <c r="E40" s="610">
        <v>3.97</v>
      </c>
      <c r="F40" s="31">
        <f>9230</f>
        <v>9230</v>
      </c>
      <c r="G40" s="33" t="s">
        <v>2691</v>
      </c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>
        <v>70740040367</v>
      </c>
      <c r="S40" s="640"/>
      <c r="T40" s="641" t="s">
        <v>2665</v>
      </c>
      <c r="U40" s="642"/>
    </row>
    <row r="41" spans="1:21" ht="15" thickBot="1" x14ac:dyDescent="0.35">
      <c r="A41" s="606"/>
      <c r="B41" s="964"/>
      <c r="C41" s="16">
        <f>D40</f>
        <v>1.3180000000000001</v>
      </c>
      <c r="D41" s="16">
        <v>3.97</v>
      </c>
      <c r="E41" s="612"/>
      <c r="F41" s="19">
        <v>15910</v>
      </c>
      <c r="G41" s="19" t="s">
        <v>368</v>
      </c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>
        <v>70740030131</v>
      </c>
      <c r="S41" s="631"/>
      <c r="T41" s="634"/>
      <c r="U41" s="637"/>
    </row>
    <row r="42" spans="1:21" x14ac:dyDescent="0.3">
      <c r="A42" s="604" t="s">
        <v>2692</v>
      </c>
      <c r="B42" s="963" t="s">
        <v>2693</v>
      </c>
      <c r="C42" s="43">
        <v>0</v>
      </c>
      <c r="D42" s="43">
        <v>1.6539999999999999</v>
      </c>
      <c r="E42" s="610">
        <v>3.4</v>
      </c>
      <c r="F42" s="640">
        <v>20580</v>
      </c>
      <c r="G42" s="640" t="s">
        <v>368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>
        <v>70740030099</v>
      </c>
      <c r="S42" s="640"/>
      <c r="T42" s="641" t="s">
        <v>2665</v>
      </c>
      <c r="U42" s="642"/>
    </row>
    <row r="43" spans="1:21" ht="15" thickBot="1" x14ac:dyDescent="0.35">
      <c r="A43" s="606"/>
      <c r="B43" s="964"/>
      <c r="C43" s="46">
        <v>1.6539999999999999</v>
      </c>
      <c r="D43" s="46">
        <v>3.4</v>
      </c>
      <c r="E43" s="612"/>
      <c r="F43" s="631"/>
      <c r="G43" s="631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>
        <v>70740020055</v>
      </c>
      <c r="S43" s="631"/>
      <c r="T43" s="634"/>
      <c r="U43" s="637"/>
    </row>
    <row r="44" spans="1:21" x14ac:dyDescent="0.3">
      <c r="A44" s="604" t="s">
        <v>2694</v>
      </c>
      <c r="B44" s="963" t="s">
        <v>2695</v>
      </c>
      <c r="C44" s="30">
        <v>0</v>
      </c>
      <c r="D44" s="30">
        <v>0.316</v>
      </c>
      <c r="E44" s="610">
        <v>0.9</v>
      </c>
      <c r="F44" s="640">
        <f>E44*4.5*1000</f>
        <v>4050</v>
      </c>
      <c r="G44" s="640" t="s">
        <v>368</v>
      </c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 t="s">
        <v>2696</v>
      </c>
      <c r="S44" s="640"/>
      <c r="T44" s="641" t="s">
        <v>2665</v>
      </c>
      <c r="U44" s="642"/>
    </row>
    <row r="45" spans="1:21" x14ac:dyDescent="0.3">
      <c r="A45" s="605"/>
      <c r="B45" s="970"/>
      <c r="C45" s="611">
        <v>0.32</v>
      </c>
      <c r="D45" s="611">
        <f>C45+0.581</f>
        <v>0.90100000000000002</v>
      </c>
      <c r="E45" s="611"/>
      <c r="F45" s="621"/>
      <c r="G45" s="621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>
        <v>70740020059</v>
      </c>
      <c r="S45" s="621"/>
      <c r="T45" s="633"/>
      <c r="U45" s="636"/>
    </row>
    <row r="46" spans="1:21" ht="15" thickBot="1" x14ac:dyDescent="0.35">
      <c r="A46" s="606"/>
      <c r="B46" s="964"/>
      <c r="C46" s="612"/>
      <c r="D46" s="612"/>
      <c r="E46" s="612"/>
      <c r="F46" s="631"/>
      <c r="G46" s="63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 t="s">
        <v>2697</v>
      </c>
      <c r="S46" s="631"/>
      <c r="T46" s="634"/>
      <c r="U46" s="637"/>
    </row>
    <row r="47" spans="1:21" ht="24.6" thickBot="1" x14ac:dyDescent="0.35">
      <c r="A47" s="22" t="s">
        <v>2698</v>
      </c>
      <c r="B47" s="305" t="s">
        <v>2699</v>
      </c>
      <c r="C47" s="24">
        <v>0</v>
      </c>
      <c r="D47" s="24">
        <v>0.9</v>
      </c>
      <c r="E47" s="24">
        <v>0.9</v>
      </c>
      <c r="F47" s="27">
        <v>3200</v>
      </c>
      <c r="G47" s="27" t="s">
        <v>368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>
        <v>70740040315</v>
      </c>
      <c r="S47" s="27"/>
      <c r="T47" s="3" t="s">
        <v>2665</v>
      </c>
      <c r="U47" s="5"/>
    </row>
    <row r="48" spans="1:21" ht="24.6" thickBot="1" x14ac:dyDescent="0.35">
      <c r="A48" s="22" t="s">
        <v>2700</v>
      </c>
      <c r="B48" s="305" t="s">
        <v>2701</v>
      </c>
      <c r="C48" s="24">
        <v>0</v>
      </c>
      <c r="D48" s="24">
        <v>1.46</v>
      </c>
      <c r="E48" s="24">
        <v>1.46</v>
      </c>
      <c r="F48" s="27">
        <v>11000</v>
      </c>
      <c r="G48" s="27" t="s">
        <v>368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>
        <v>70740010086</v>
      </c>
      <c r="S48" s="27"/>
      <c r="T48" s="3" t="s">
        <v>2665</v>
      </c>
      <c r="U48" s="5"/>
    </row>
    <row r="49" spans="1:21" x14ac:dyDescent="0.3">
      <c r="A49" s="604" t="s">
        <v>2702</v>
      </c>
      <c r="B49" s="963" t="s">
        <v>2703</v>
      </c>
      <c r="C49" s="30">
        <v>0</v>
      </c>
      <c r="D49" s="30">
        <v>6.3E-2</v>
      </c>
      <c r="E49" s="610">
        <v>0.89</v>
      </c>
      <c r="F49" s="640">
        <v>3560</v>
      </c>
      <c r="G49" s="640" t="s">
        <v>368</v>
      </c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>
        <v>70740010087</v>
      </c>
      <c r="S49" s="640"/>
      <c r="T49" s="641" t="s">
        <v>2665</v>
      </c>
      <c r="U49" s="642"/>
    </row>
    <row r="50" spans="1:21" ht="16.5" customHeight="1" x14ac:dyDescent="0.3">
      <c r="A50" s="605"/>
      <c r="B50" s="970"/>
      <c r="C50" s="10">
        <f>D49</f>
        <v>6.3E-2</v>
      </c>
      <c r="D50" s="10">
        <f>C50+0.01</f>
        <v>7.2999999999999995E-2</v>
      </c>
      <c r="E50" s="611"/>
      <c r="F50" s="621"/>
      <c r="G50" s="621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>
        <v>70740010067</v>
      </c>
      <c r="S50" s="621"/>
      <c r="T50" s="633"/>
      <c r="U50" s="636"/>
    </row>
    <row r="51" spans="1:21" x14ac:dyDescent="0.3">
      <c r="A51" s="605"/>
      <c r="B51" s="970"/>
      <c r="C51" s="10">
        <v>7.0000000000000007E-2</v>
      </c>
      <c r="D51" s="10">
        <v>0.29499999999999998</v>
      </c>
      <c r="E51" s="611"/>
      <c r="F51" s="621"/>
      <c r="G51" s="621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>
        <v>70740010119</v>
      </c>
      <c r="S51" s="621"/>
      <c r="T51" s="633"/>
      <c r="U51" s="636"/>
    </row>
    <row r="52" spans="1:21" x14ac:dyDescent="0.3">
      <c r="A52" s="605"/>
      <c r="B52" s="970"/>
      <c r="C52" s="10">
        <v>0.29499999999999998</v>
      </c>
      <c r="D52" s="10">
        <v>0.73</v>
      </c>
      <c r="E52" s="611"/>
      <c r="F52" s="621"/>
      <c r="G52" s="621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 t="s">
        <v>2704</v>
      </c>
      <c r="S52" s="621"/>
      <c r="T52" s="633"/>
      <c r="U52" s="636"/>
    </row>
    <row r="53" spans="1:21" ht="15" thickBot="1" x14ac:dyDescent="0.35">
      <c r="A53" s="606"/>
      <c r="B53" s="964"/>
      <c r="C53" s="16">
        <v>0.73</v>
      </c>
      <c r="D53" s="16">
        <v>0.89</v>
      </c>
      <c r="E53" s="612"/>
      <c r="F53" s="631"/>
      <c r="G53" s="631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 t="s">
        <v>2705</v>
      </c>
      <c r="S53" s="631"/>
      <c r="T53" s="634"/>
      <c r="U53" s="637"/>
    </row>
    <row r="54" spans="1:21" ht="15.75" customHeight="1" x14ac:dyDescent="0.3">
      <c r="A54" s="604" t="s">
        <v>2706</v>
      </c>
      <c r="B54" s="607" t="s">
        <v>2707</v>
      </c>
      <c r="C54" s="30">
        <v>0</v>
      </c>
      <c r="D54" s="30">
        <v>0.40600000000000003</v>
      </c>
      <c r="E54" s="610">
        <v>3.43</v>
      </c>
      <c r="F54" s="640">
        <v>12000</v>
      </c>
      <c r="G54" s="640" t="s">
        <v>368</v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>
        <v>70740030068</v>
      </c>
      <c r="S54" s="640"/>
      <c r="T54" s="641" t="s">
        <v>2665</v>
      </c>
      <c r="U54" s="642" t="s">
        <v>67</v>
      </c>
    </row>
    <row r="55" spans="1:21" x14ac:dyDescent="0.3">
      <c r="A55" s="605"/>
      <c r="B55" s="608"/>
      <c r="C55" s="10">
        <f>D54</f>
        <v>0.40600000000000003</v>
      </c>
      <c r="D55" s="10">
        <f>D54+0.488</f>
        <v>0.89400000000000002</v>
      </c>
      <c r="E55" s="611"/>
      <c r="F55" s="621"/>
      <c r="G55" s="621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 t="s">
        <v>2708</v>
      </c>
      <c r="S55" s="621"/>
      <c r="T55" s="633"/>
      <c r="U55" s="636"/>
    </row>
    <row r="56" spans="1:21" ht="15" customHeight="1" x14ac:dyDescent="0.3">
      <c r="A56" s="605"/>
      <c r="B56" s="608"/>
      <c r="C56" s="10">
        <f>D55</f>
        <v>0.89400000000000002</v>
      </c>
      <c r="D56" s="10">
        <f>C56+1.14</f>
        <v>2.0339999999999998</v>
      </c>
      <c r="E56" s="611"/>
      <c r="F56" s="621"/>
      <c r="G56" s="621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>
        <v>70740030113</v>
      </c>
      <c r="S56" s="621"/>
      <c r="T56" s="633"/>
      <c r="U56" s="636"/>
    </row>
    <row r="57" spans="1:21" x14ac:dyDescent="0.3">
      <c r="A57" s="605"/>
      <c r="B57" s="608"/>
      <c r="C57" s="10">
        <v>2.0299999999999998</v>
      </c>
      <c r="D57" s="10">
        <f>C57+0.555</f>
        <v>2.585</v>
      </c>
      <c r="E57" s="611"/>
      <c r="F57" s="621"/>
      <c r="G57" s="621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 t="s">
        <v>2709</v>
      </c>
      <c r="S57" s="621"/>
      <c r="T57" s="633"/>
      <c r="U57" s="636"/>
    </row>
    <row r="58" spans="1:21" x14ac:dyDescent="0.3">
      <c r="A58" s="605"/>
      <c r="B58" s="608"/>
      <c r="C58" s="10">
        <f>D57</f>
        <v>2.585</v>
      </c>
      <c r="D58" s="10">
        <f>C58+0.394</f>
        <v>2.9790000000000001</v>
      </c>
      <c r="E58" s="611"/>
      <c r="F58" s="621"/>
      <c r="G58" s="621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 t="s">
        <v>2710</v>
      </c>
      <c r="S58" s="621"/>
      <c r="T58" s="633"/>
      <c r="U58" s="636"/>
    </row>
    <row r="59" spans="1:21" x14ac:dyDescent="0.3">
      <c r="A59" s="605"/>
      <c r="B59" s="608"/>
      <c r="C59" s="10">
        <f>D58</f>
        <v>2.9790000000000001</v>
      </c>
      <c r="D59" s="10">
        <f>C59+0.088</f>
        <v>3.0670000000000002</v>
      </c>
      <c r="E59" s="611"/>
      <c r="F59" s="621"/>
      <c r="G59" s="621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 t="s">
        <v>2711</v>
      </c>
      <c r="S59" s="621"/>
      <c r="T59" s="633"/>
      <c r="U59" s="636"/>
    </row>
    <row r="60" spans="1:21" x14ac:dyDescent="0.3">
      <c r="A60" s="605"/>
      <c r="B60" s="608"/>
      <c r="C60" s="10">
        <f>D59</f>
        <v>3.0670000000000002</v>
      </c>
      <c r="D60" s="10">
        <f>C60+0.08</f>
        <v>3.1470000000000002</v>
      </c>
      <c r="E60" s="611"/>
      <c r="F60" s="621"/>
      <c r="G60" s="621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 t="s">
        <v>2712</v>
      </c>
      <c r="S60" s="621"/>
      <c r="T60" s="633"/>
      <c r="U60" s="636"/>
    </row>
    <row r="61" spans="1:21" x14ac:dyDescent="0.3">
      <c r="A61" s="605"/>
      <c r="B61" s="608"/>
      <c r="C61" s="10">
        <f>D60</f>
        <v>3.1470000000000002</v>
      </c>
      <c r="D61" s="10">
        <f>C61+0.08</f>
        <v>3.2270000000000003</v>
      </c>
      <c r="E61" s="611"/>
      <c r="F61" s="621"/>
      <c r="G61" s="621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 t="s">
        <v>2713</v>
      </c>
      <c r="S61" s="621"/>
      <c r="T61" s="633"/>
      <c r="U61" s="636"/>
    </row>
    <row r="62" spans="1:21" ht="15" thickBot="1" x14ac:dyDescent="0.35">
      <c r="A62" s="606"/>
      <c r="B62" s="609"/>
      <c r="C62" s="16">
        <f>D61</f>
        <v>3.2270000000000003</v>
      </c>
      <c r="D62" s="16">
        <f>D61+0.199</f>
        <v>3.4260000000000002</v>
      </c>
      <c r="E62" s="612"/>
      <c r="F62" s="631"/>
      <c r="G62" s="631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 t="s">
        <v>1725</v>
      </c>
      <c r="S62" s="631"/>
      <c r="T62" s="634"/>
      <c r="U62" s="637"/>
    </row>
    <row r="63" spans="1:21" x14ac:dyDescent="0.3">
      <c r="A63" s="604" t="s">
        <v>2714</v>
      </c>
      <c r="B63" s="963" t="s">
        <v>2715</v>
      </c>
      <c r="C63" s="30">
        <v>0</v>
      </c>
      <c r="D63" s="30">
        <v>0.32</v>
      </c>
      <c r="E63" s="610">
        <v>1.33</v>
      </c>
      <c r="F63" s="640">
        <v>7996</v>
      </c>
      <c r="G63" s="640" t="s">
        <v>368</v>
      </c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>
        <v>70740040116</v>
      </c>
      <c r="S63" s="640"/>
      <c r="T63" s="641" t="s">
        <v>2665</v>
      </c>
      <c r="U63" s="642"/>
    </row>
    <row r="64" spans="1:21" x14ac:dyDescent="0.3">
      <c r="A64" s="605"/>
      <c r="B64" s="970"/>
      <c r="C64" s="10">
        <v>0.32</v>
      </c>
      <c r="D64" s="10">
        <v>0.8</v>
      </c>
      <c r="E64" s="611"/>
      <c r="F64" s="621"/>
      <c r="G64" s="621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 t="s">
        <v>2716</v>
      </c>
      <c r="S64" s="621"/>
      <c r="T64" s="633"/>
      <c r="U64" s="636"/>
    </row>
    <row r="65" spans="1:21" ht="15" thickBot="1" x14ac:dyDescent="0.35">
      <c r="A65" s="606"/>
      <c r="B65" s="964"/>
      <c r="C65" s="16">
        <v>0.8</v>
      </c>
      <c r="D65" s="16">
        <v>1.33</v>
      </c>
      <c r="E65" s="612"/>
      <c r="F65" s="631"/>
      <c r="G65" s="631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 t="s">
        <v>2717</v>
      </c>
      <c r="S65" s="631"/>
      <c r="T65" s="634"/>
      <c r="U65" s="637"/>
    </row>
    <row r="66" spans="1:21" x14ac:dyDescent="0.3">
      <c r="A66" s="604" t="s">
        <v>2718</v>
      </c>
      <c r="B66" s="963" t="s">
        <v>2719</v>
      </c>
      <c r="C66" s="30">
        <v>0</v>
      </c>
      <c r="D66" s="30">
        <v>0.27500000000000002</v>
      </c>
      <c r="E66" s="610">
        <v>2.06</v>
      </c>
      <c r="F66" s="640">
        <v>10640</v>
      </c>
      <c r="G66" s="640" t="s">
        <v>368</v>
      </c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>
        <v>70740040118</v>
      </c>
      <c r="S66" s="640"/>
      <c r="T66" s="641" t="s">
        <v>2665</v>
      </c>
      <c r="U66" s="642"/>
    </row>
    <row r="67" spans="1:21" x14ac:dyDescent="0.3">
      <c r="A67" s="605"/>
      <c r="B67" s="970"/>
      <c r="C67" s="10">
        <v>0.27500000000000002</v>
      </c>
      <c r="D67" s="10">
        <v>0.44500000000000001</v>
      </c>
      <c r="E67" s="611"/>
      <c r="F67" s="621"/>
      <c r="G67" s="621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 t="s">
        <v>2720</v>
      </c>
      <c r="S67" s="621"/>
      <c r="T67" s="633"/>
      <c r="U67" s="636"/>
    </row>
    <row r="68" spans="1:21" x14ac:dyDescent="0.3">
      <c r="A68" s="605"/>
      <c r="B68" s="970"/>
      <c r="C68" s="10">
        <v>0.45</v>
      </c>
      <c r="D68" s="10">
        <v>0.50700000000000001</v>
      </c>
      <c r="E68" s="611"/>
      <c r="F68" s="621"/>
      <c r="G68" s="621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 t="s">
        <v>2721</v>
      </c>
      <c r="S68" s="621"/>
      <c r="T68" s="633"/>
      <c r="U68" s="636"/>
    </row>
    <row r="69" spans="1:21" x14ac:dyDescent="0.3">
      <c r="A69" s="605"/>
      <c r="B69" s="970"/>
      <c r="C69" s="10">
        <v>0.50700000000000001</v>
      </c>
      <c r="D69" s="10">
        <v>0.72699999999999998</v>
      </c>
      <c r="E69" s="611"/>
      <c r="F69" s="621"/>
      <c r="G69" s="621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 t="s">
        <v>2720</v>
      </c>
      <c r="S69" s="621"/>
      <c r="T69" s="633"/>
      <c r="U69" s="636"/>
    </row>
    <row r="70" spans="1:21" x14ac:dyDescent="0.3">
      <c r="A70" s="605"/>
      <c r="B70" s="970"/>
      <c r="C70" s="10">
        <v>0.72699999999999998</v>
      </c>
      <c r="D70" s="10">
        <v>0.876</v>
      </c>
      <c r="E70" s="611"/>
      <c r="F70" s="621"/>
      <c r="G70" s="621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 t="s">
        <v>2722</v>
      </c>
      <c r="S70" s="621"/>
      <c r="T70" s="633"/>
      <c r="U70" s="636"/>
    </row>
    <row r="71" spans="1:21" x14ac:dyDescent="0.3">
      <c r="A71" s="605"/>
      <c r="B71" s="970"/>
      <c r="C71" s="10">
        <v>0.876</v>
      </c>
      <c r="D71" s="10">
        <v>1.1040000000000001</v>
      </c>
      <c r="E71" s="611"/>
      <c r="F71" s="621"/>
      <c r="G71" s="621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 t="s">
        <v>2723</v>
      </c>
      <c r="S71" s="621"/>
      <c r="T71" s="633"/>
      <c r="U71" s="636"/>
    </row>
    <row r="72" spans="1:21" x14ac:dyDescent="0.3">
      <c r="A72" s="605"/>
      <c r="B72" s="970"/>
      <c r="C72" s="10">
        <v>1.1040000000000001</v>
      </c>
      <c r="D72" s="10">
        <v>1.502</v>
      </c>
      <c r="E72" s="611"/>
      <c r="F72" s="621"/>
      <c r="G72" s="621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 t="s">
        <v>2724</v>
      </c>
      <c r="S72" s="621"/>
      <c r="T72" s="633"/>
      <c r="U72" s="636"/>
    </row>
    <row r="73" spans="1:21" x14ac:dyDescent="0.3">
      <c r="A73" s="605"/>
      <c r="B73" s="970"/>
      <c r="C73" s="10">
        <v>1.502</v>
      </c>
      <c r="D73" s="10">
        <v>1.804</v>
      </c>
      <c r="E73" s="611"/>
      <c r="F73" s="621"/>
      <c r="G73" s="621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 t="s">
        <v>2725</v>
      </c>
      <c r="S73" s="621"/>
      <c r="T73" s="633"/>
      <c r="U73" s="636"/>
    </row>
    <row r="74" spans="1:21" x14ac:dyDescent="0.3">
      <c r="A74" s="605"/>
      <c r="B74" s="970"/>
      <c r="C74" s="10">
        <v>1.804</v>
      </c>
      <c r="D74" s="10">
        <v>1.891</v>
      </c>
      <c r="E74" s="611"/>
      <c r="F74" s="621"/>
      <c r="G74" s="621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 t="s">
        <v>2726</v>
      </c>
      <c r="S74" s="621"/>
      <c r="T74" s="633"/>
      <c r="U74" s="636"/>
    </row>
    <row r="75" spans="1:21" x14ac:dyDescent="0.3">
      <c r="A75" s="605"/>
      <c r="B75" s="970"/>
      <c r="C75" s="10">
        <v>1.891</v>
      </c>
      <c r="D75" s="10">
        <v>1.8919999999999999</v>
      </c>
      <c r="E75" s="611"/>
      <c r="F75" s="621"/>
      <c r="G75" s="621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 t="s">
        <v>2727</v>
      </c>
      <c r="S75" s="621"/>
      <c r="T75" s="633"/>
      <c r="U75" s="636"/>
    </row>
    <row r="76" spans="1:21" ht="15" thickBot="1" x14ac:dyDescent="0.35">
      <c r="A76" s="606"/>
      <c r="B76" s="964"/>
      <c r="C76" s="16">
        <v>1.8919999999999999</v>
      </c>
      <c r="D76" s="16">
        <v>2.06</v>
      </c>
      <c r="E76" s="612"/>
      <c r="F76" s="631"/>
      <c r="G76" s="631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 t="s">
        <v>2728</v>
      </c>
      <c r="S76" s="631"/>
      <c r="T76" s="634"/>
      <c r="U76" s="637"/>
    </row>
    <row r="77" spans="1:21" ht="15.75" customHeight="1" x14ac:dyDescent="0.3">
      <c r="A77" s="604" t="s">
        <v>2729</v>
      </c>
      <c r="B77" s="963" t="s">
        <v>2730</v>
      </c>
      <c r="C77" s="30">
        <v>0</v>
      </c>
      <c r="D77" s="30">
        <v>0.183</v>
      </c>
      <c r="E77" s="610">
        <v>0.32</v>
      </c>
      <c r="F77" s="640">
        <f>E77*5*1000</f>
        <v>1600</v>
      </c>
      <c r="G77" s="640" t="s">
        <v>368</v>
      </c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>
        <v>70740040121</v>
      </c>
      <c r="S77" s="640"/>
      <c r="T77" s="641" t="s">
        <v>2665</v>
      </c>
      <c r="U77" s="642" t="s">
        <v>67</v>
      </c>
    </row>
    <row r="78" spans="1:21" x14ac:dyDescent="0.3">
      <c r="A78" s="605"/>
      <c r="B78" s="970"/>
      <c r="C78" s="10">
        <f>D77</f>
        <v>0.183</v>
      </c>
      <c r="D78" s="10">
        <f>C78+0.025</f>
        <v>0.20799999999999999</v>
      </c>
      <c r="E78" s="611"/>
      <c r="F78" s="621"/>
      <c r="G78" s="621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 t="s">
        <v>2731</v>
      </c>
      <c r="S78" s="621"/>
      <c r="T78" s="633"/>
      <c r="U78" s="636"/>
    </row>
    <row r="79" spans="1:21" x14ac:dyDescent="0.3">
      <c r="A79" s="605"/>
      <c r="B79" s="970"/>
      <c r="C79" s="10">
        <f>D78</f>
        <v>0.20799999999999999</v>
      </c>
      <c r="D79" s="10">
        <f>C79+0.084</f>
        <v>0.29199999999999998</v>
      </c>
      <c r="E79" s="611"/>
      <c r="F79" s="621"/>
      <c r="G79" s="621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>
        <v>70740040173</v>
      </c>
      <c r="S79" s="621"/>
      <c r="T79" s="633"/>
      <c r="U79" s="636"/>
    </row>
    <row r="80" spans="1:21" ht="15" thickBot="1" x14ac:dyDescent="0.35">
      <c r="A80" s="606"/>
      <c r="B80" s="964"/>
      <c r="C80" s="16">
        <f>D79</f>
        <v>0.29199999999999998</v>
      </c>
      <c r="D80" s="16">
        <f>C80+0.031</f>
        <v>0.32299999999999995</v>
      </c>
      <c r="E80" s="612"/>
      <c r="F80" s="631"/>
      <c r="G80" s="631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 t="s">
        <v>2732</v>
      </c>
      <c r="S80" s="631"/>
      <c r="T80" s="634"/>
      <c r="U80" s="637"/>
    </row>
    <row r="81" spans="1:21" x14ac:dyDescent="0.3">
      <c r="A81" s="604" t="s">
        <v>2733</v>
      </c>
      <c r="B81" s="963" t="s">
        <v>2734</v>
      </c>
      <c r="C81" s="30">
        <v>0</v>
      </c>
      <c r="D81" s="30">
        <v>0.20599999999999999</v>
      </c>
      <c r="E81" s="610">
        <f>D83</f>
        <v>0.38900000000000001</v>
      </c>
      <c r="F81" s="613">
        <v>1360</v>
      </c>
      <c r="G81" s="640" t="s">
        <v>368</v>
      </c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>
        <v>70740080104</v>
      </c>
      <c r="S81" s="640"/>
      <c r="T81" s="641" t="s">
        <v>2665</v>
      </c>
      <c r="U81" s="642" t="s">
        <v>67</v>
      </c>
    </row>
    <row r="82" spans="1:21" x14ac:dyDescent="0.3">
      <c r="A82" s="605"/>
      <c r="B82" s="970"/>
      <c r="C82" s="10">
        <f>D81</f>
        <v>0.20599999999999999</v>
      </c>
      <c r="D82" s="10">
        <f>C82+0.176</f>
        <v>0.38200000000000001</v>
      </c>
      <c r="E82" s="611"/>
      <c r="F82" s="614"/>
      <c r="G82" s="621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 t="s">
        <v>2735</v>
      </c>
      <c r="S82" s="621"/>
      <c r="T82" s="633"/>
      <c r="U82" s="636"/>
    </row>
    <row r="83" spans="1:21" ht="15" thickBot="1" x14ac:dyDescent="0.35">
      <c r="A83" s="606"/>
      <c r="B83" s="964"/>
      <c r="C83" s="16">
        <f>D82</f>
        <v>0.38200000000000001</v>
      </c>
      <c r="D83" s="18">
        <f>D82+0.007</f>
        <v>0.38900000000000001</v>
      </c>
      <c r="E83" s="612"/>
      <c r="F83" s="638"/>
      <c r="G83" s="631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>
        <v>70740080103</v>
      </c>
      <c r="S83" s="631"/>
      <c r="T83" s="634"/>
      <c r="U83" s="637"/>
    </row>
    <row r="84" spans="1:21" x14ac:dyDescent="0.3">
      <c r="A84" s="604" t="s">
        <v>2736</v>
      </c>
      <c r="B84" s="963" t="s">
        <v>2737</v>
      </c>
      <c r="C84" s="30">
        <v>0</v>
      </c>
      <c r="D84" s="30">
        <v>0.182</v>
      </c>
      <c r="E84" s="610">
        <v>3.24</v>
      </c>
      <c r="F84" s="640">
        <v>12385</v>
      </c>
      <c r="G84" s="640" t="s">
        <v>368</v>
      </c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>
        <v>70740080009</v>
      </c>
      <c r="S84" s="640"/>
      <c r="T84" s="641" t="s">
        <v>2665</v>
      </c>
      <c r="U84" s="697"/>
    </row>
    <row r="85" spans="1:21" x14ac:dyDescent="0.3">
      <c r="A85" s="605"/>
      <c r="B85" s="970"/>
      <c r="C85" s="10">
        <v>0.182</v>
      </c>
      <c r="D85" s="10">
        <f>C85+2.425</f>
        <v>2.6069999999999998</v>
      </c>
      <c r="E85" s="611"/>
      <c r="F85" s="621"/>
      <c r="G85" s="621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>
        <v>70740050012</v>
      </c>
      <c r="S85" s="621"/>
      <c r="T85" s="633"/>
      <c r="U85" s="1120"/>
    </row>
    <row r="86" spans="1:21" x14ac:dyDescent="0.3">
      <c r="A86" s="605"/>
      <c r="B86" s="970"/>
      <c r="C86" s="10">
        <v>2.609</v>
      </c>
      <c r="D86" s="10">
        <f>C86+0.146</f>
        <v>2.7549999999999999</v>
      </c>
      <c r="E86" s="611"/>
      <c r="F86" s="621"/>
      <c r="G86" s="621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 t="s">
        <v>2738</v>
      </c>
      <c r="S86" s="621"/>
      <c r="T86" s="633"/>
      <c r="U86" s="1120"/>
    </row>
    <row r="87" spans="1:21" x14ac:dyDescent="0.3">
      <c r="A87" s="605"/>
      <c r="B87" s="970"/>
      <c r="C87" s="10">
        <v>2.7549999999999999</v>
      </c>
      <c r="D87" s="10">
        <f>C87+0.276</f>
        <v>3.0309999999999997</v>
      </c>
      <c r="E87" s="611"/>
      <c r="F87" s="621"/>
      <c r="G87" s="621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>
        <v>70740050024</v>
      </c>
      <c r="S87" s="621"/>
      <c r="T87" s="633"/>
      <c r="U87" s="1120"/>
    </row>
    <row r="88" spans="1:21" x14ac:dyDescent="0.3">
      <c r="A88" s="605"/>
      <c r="B88" s="970"/>
      <c r="C88" s="10">
        <f>D87</f>
        <v>3.0309999999999997</v>
      </c>
      <c r="D88" s="10">
        <f>C88+0.044</f>
        <v>3.0749999999999997</v>
      </c>
      <c r="E88" s="611"/>
      <c r="F88" s="621"/>
      <c r="G88" s="621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 t="s">
        <v>2739</v>
      </c>
      <c r="S88" s="621"/>
      <c r="T88" s="633"/>
      <c r="U88" s="1120"/>
    </row>
    <row r="89" spans="1:21" x14ac:dyDescent="0.3">
      <c r="A89" s="605"/>
      <c r="B89" s="970"/>
      <c r="C89" s="10">
        <f>D88</f>
        <v>3.0749999999999997</v>
      </c>
      <c r="D89" s="10">
        <f>C89+0.023</f>
        <v>3.0979999999999999</v>
      </c>
      <c r="E89" s="611"/>
      <c r="F89" s="621"/>
      <c r="G89" s="621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 t="s">
        <v>2740</v>
      </c>
      <c r="S89" s="621"/>
      <c r="T89" s="633"/>
      <c r="U89" s="1120"/>
    </row>
    <row r="90" spans="1:21" ht="15" thickBot="1" x14ac:dyDescent="0.35">
      <c r="A90" s="606"/>
      <c r="B90" s="964"/>
      <c r="C90" s="16">
        <f>D89</f>
        <v>3.0979999999999999</v>
      </c>
      <c r="D90" s="16">
        <f>C90+0.137</f>
        <v>3.2349999999999999</v>
      </c>
      <c r="E90" s="612"/>
      <c r="F90" s="631"/>
      <c r="G90" s="631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 t="s">
        <v>2739</v>
      </c>
      <c r="S90" s="631"/>
      <c r="T90" s="634"/>
      <c r="U90" s="698"/>
    </row>
    <row r="91" spans="1:21" ht="15.75" customHeight="1" x14ac:dyDescent="0.3">
      <c r="A91" s="604" t="s">
        <v>2741</v>
      </c>
      <c r="B91" s="607" t="s">
        <v>2742</v>
      </c>
      <c r="C91" s="30">
        <v>0</v>
      </c>
      <c r="D91" s="30">
        <v>0.45200000000000001</v>
      </c>
      <c r="E91" s="610">
        <v>2.2400000000000002</v>
      </c>
      <c r="F91" s="640">
        <v>14960</v>
      </c>
      <c r="G91" s="640" t="s">
        <v>368</v>
      </c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>
        <v>70740030069</v>
      </c>
      <c r="S91" s="640"/>
      <c r="T91" s="641" t="s">
        <v>2665</v>
      </c>
      <c r="U91" s="642" t="s">
        <v>67</v>
      </c>
    </row>
    <row r="92" spans="1:21" x14ac:dyDescent="0.3">
      <c r="A92" s="605"/>
      <c r="B92" s="608"/>
      <c r="C92" s="10">
        <f>D91</f>
        <v>0.45200000000000001</v>
      </c>
      <c r="D92" s="10">
        <f>C92+0.062</f>
        <v>0.51400000000000001</v>
      </c>
      <c r="E92" s="611"/>
      <c r="F92" s="621"/>
      <c r="G92" s="621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 t="s">
        <v>2743</v>
      </c>
      <c r="S92" s="621"/>
      <c r="T92" s="633"/>
      <c r="U92" s="636"/>
    </row>
    <row r="93" spans="1:21" x14ac:dyDescent="0.3">
      <c r="A93" s="605"/>
      <c r="B93" s="608"/>
      <c r="C93" s="10">
        <f>D92</f>
        <v>0.51400000000000001</v>
      </c>
      <c r="D93" s="10">
        <f>C93+0.518</f>
        <v>1.032</v>
      </c>
      <c r="E93" s="611"/>
      <c r="F93" s="621"/>
      <c r="G93" s="621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 t="s">
        <v>2744</v>
      </c>
      <c r="S93" s="621"/>
      <c r="T93" s="633"/>
      <c r="U93" s="636"/>
    </row>
    <row r="94" spans="1:21" x14ac:dyDescent="0.3">
      <c r="A94" s="605"/>
      <c r="B94" s="608"/>
      <c r="C94" s="10">
        <f>D93</f>
        <v>1.032</v>
      </c>
      <c r="D94" s="10">
        <f>C94+0.073</f>
        <v>1.105</v>
      </c>
      <c r="E94" s="611"/>
      <c r="F94" s="621"/>
      <c r="G94" s="621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 t="s">
        <v>2743</v>
      </c>
      <c r="S94" s="621"/>
      <c r="T94" s="633"/>
      <c r="U94" s="636"/>
    </row>
    <row r="95" spans="1:21" x14ac:dyDescent="0.3">
      <c r="A95" s="605"/>
      <c r="B95" s="608"/>
      <c r="C95" s="10">
        <f>D94</f>
        <v>1.105</v>
      </c>
      <c r="D95" s="10">
        <f>C95+0.531</f>
        <v>1.6360000000000001</v>
      </c>
      <c r="E95" s="611"/>
      <c r="F95" s="621"/>
      <c r="G95" s="621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 t="s">
        <v>2745</v>
      </c>
      <c r="S95" s="621"/>
      <c r="T95" s="633"/>
      <c r="U95" s="636"/>
    </row>
    <row r="96" spans="1:21" ht="15" thickBot="1" x14ac:dyDescent="0.35">
      <c r="A96" s="606"/>
      <c r="B96" s="609"/>
      <c r="C96" s="16">
        <f>D95</f>
        <v>1.6360000000000001</v>
      </c>
      <c r="D96" s="16">
        <f>C96+0.599</f>
        <v>2.2350000000000003</v>
      </c>
      <c r="E96" s="612"/>
      <c r="F96" s="631"/>
      <c r="G96" s="631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 t="s">
        <v>2711</v>
      </c>
      <c r="S96" s="631"/>
      <c r="T96" s="634"/>
      <c r="U96" s="637"/>
    </row>
    <row r="97" spans="1:21" x14ac:dyDescent="0.3">
      <c r="A97" s="604" t="s">
        <v>2746</v>
      </c>
      <c r="B97" s="607" t="s">
        <v>2747</v>
      </c>
      <c r="C97" s="610">
        <v>0</v>
      </c>
      <c r="D97" s="610">
        <v>0.374</v>
      </c>
      <c r="E97" s="610">
        <v>2.16</v>
      </c>
      <c r="F97" s="640">
        <v>9160</v>
      </c>
      <c r="G97" s="640" t="s">
        <v>368</v>
      </c>
      <c r="H97" s="34"/>
      <c r="I97" s="34"/>
      <c r="J97" s="34" t="s">
        <v>2748</v>
      </c>
      <c r="K97" s="34"/>
      <c r="L97" s="34"/>
      <c r="M97" s="34"/>
      <c r="N97" s="34"/>
      <c r="O97" s="34"/>
      <c r="P97" s="34"/>
      <c r="Q97" s="34"/>
      <c r="R97" s="34">
        <v>70740080106</v>
      </c>
      <c r="S97" s="640"/>
      <c r="T97" s="641" t="s">
        <v>2665</v>
      </c>
      <c r="U97" s="642" t="s">
        <v>67</v>
      </c>
    </row>
    <row r="98" spans="1:21" ht="24" x14ac:dyDescent="0.3">
      <c r="A98" s="605"/>
      <c r="B98" s="608"/>
      <c r="C98" s="611"/>
      <c r="D98" s="611"/>
      <c r="E98" s="611"/>
      <c r="F98" s="621"/>
      <c r="G98" s="621"/>
      <c r="H98" s="14" t="s">
        <v>2749</v>
      </c>
      <c r="I98" s="13">
        <v>0.09</v>
      </c>
      <c r="J98" s="14" t="s">
        <v>2750</v>
      </c>
      <c r="K98" s="13">
        <v>36.5</v>
      </c>
      <c r="L98" s="13">
        <v>321.2</v>
      </c>
      <c r="M98" s="13"/>
      <c r="N98" s="13"/>
      <c r="O98" s="13" t="s">
        <v>973</v>
      </c>
      <c r="P98" s="13"/>
      <c r="Q98" s="13"/>
      <c r="R98" s="13" t="s">
        <v>2751</v>
      </c>
      <c r="S98" s="621"/>
      <c r="T98" s="633"/>
      <c r="U98" s="636"/>
    </row>
    <row r="99" spans="1:21" x14ac:dyDescent="0.3">
      <c r="A99" s="605"/>
      <c r="B99" s="608"/>
      <c r="C99" s="10">
        <v>0.374</v>
      </c>
      <c r="D99" s="10">
        <f>C99+0.374</f>
        <v>0.748</v>
      </c>
      <c r="E99" s="611"/>
      <c r="F99" s="621"/>
      <c r="G99" s="621"/>
      <c r="H99" s="13"/>
      <c r="I99" s="13"/>
      <c r="J99" s="13" t="s">
        <v>2748</v>
      </c>
      <c r="K99" s="13"/>
      <c r="L99" s="13"/>
      <c r="M99" s="13"/>
      <c r="N99" s="13"/>
      <c r="O99" s="13"/>
      <c r="P99" s="13"/>
      <c r="Q99" s="13"/>
      <c r="R99" s="13" t="s">
        <v>2726</v>
      </c>
      <c r="S99" s="621"/>
      <c r="T99" s="633"/>
      <c r="U99" s="636"/>
    </row>
    <row r="100" spans="1:21" x14ac:dyDescent="0.3">
      <c r="A100" s="605"/>
      <c r="B100" s="608"/>
      <c r="C100" s="10">
        <f>D99</f>
        <v>0.748</v>
      </c>
      <c r="D100" s="10">
        <f>C100+0.248</f>
        <v>0.996</v>
      </c>
      <c r="E100" s="611"/>
      <c r="F100" s="621"/>
      <c r="G100" s="621"/>
      <c r="H100" s="13"/>
      <c r="I100" s="13"/>
      <c r="J100" s="14"/>
      <c r="K100" s="13"/>
      <c r="L100" s="13"/>
      <c r="M100" s="13"/>
      <c r="N100" s="13"/>
      <c r="O100" s="13"/>
      <c r="P100" s="13"/>
      <c r="Q100" s="13"/>
      <c r="R100" s="13">
        <v>70740080072</v>
      </c>
      <c r="S100" s="621"/>
      <c r="T100" s="633"/>
      <c r="U100" s="636"/>
    </row>
    <row r="101" spans="1:21" x14ac:dyDescent="0.3">
      <c r="A101" s="605"/>
      <c r="B101" s="608"/>
      <c r="C101" s="10">
        <v>1</v>
      </c>
      <c r="D101" s="10">
        <f>C101+0.256</f>
        <v>1.256</v>
      </c>
      <c r="E101" s="611"/>
      <c r="F101" s="621"/>
      <c r="G101" s="621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 t="s">
        <v>2752</v>
      </c>
      <c r="S101" s="621"/>
      <c r="T101" s="633"/>
      <c r="U101" s="636"/>
    </row>
    <row r="102" spans="1:21" x14ac:dyDescent="0.3">
      <c r="A102" s="605"/>
      <c r="B102" s="608"/>
      <c r="C102" s="10">
        <f>D101</f>
        <v>1.256</v>
      </c>
      <c r="D102" s="10">
        <f>C102+0.375</f>
        <v>1.631</v>
      </c>
      <c r="E102" s="611"/>
      <c r="F102" s="621"/>
      <c r="G102" s="621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 t="s">
        <v>2753</v>
      </c>
      <c r="S102" s="621"/>
      <c r="T102" s="633"/>
      <c r="U102" s="636"/>
    </row>
    <row r="103" spans="1:21" x14ac:dyDescent="0.3">
      <c r="A103" s="605"/>
      <c r="B103" s="608"/>
      <c r="C103" s="10">
        <v>1.63</v>
      </c>
      <c r="D103" s="10">
        <f>C103+0.18</f>
        <v>1.8099999999999998</v>
      </c>
      <c r="E103" s="611"/>
      <c r="F103" s="621"/>
      <c r="G103" s="621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 t="s">
        <v>2754</v>
      </c>
      <c r="S103" s="621"/>
      <c r="T103" s="633"/>
      <c r="U103" s="636"/>
    </row>
    <row r="104" spans="1:21" ht="15" thickBot="1" x14ac:dyDescent="0.35">
      <c r="A104" s="606"/>
      <c r="B104" s="609"/>
      <c r="C104" s="16">
        <f>D103</f>
        <v>1.8099999999999998</v>
      </c>
      <c r="D104" s="16">
        <f>C104+0.352</f>
        <v>2.1619999999999999</v>
      </c>
      <c r="E104" s="612"/>
      <c r="F104" s="631"/>
      <c r="G104" s="631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 t="s">
        <v>1725</v>
      </c>
      <c r="S104" s="631"/>
      <c r="T104" s="634"/>
      <c r="U104" s="637"/>
    </row>
    <row r="105" spans="1:21" x14ac:dyDescent="0.3">
      <c r="A105" s="604" t="s">
        <v>2755</v>
      </c>
      <c r="B105" s="963" t="s">
        <v>2756</v>
      </c>
      <c r="C105" s="30">
        <v>0</v>
      </c>
      <c r="D105" s="30">
        <v>0.29799999999999999</v>
      </c>
      <c r="E105" s="610">
        <v>0.97</v>
      </c>
      <c r="F105" s="640">
        <v>3400</v>
      </c>
      <c r="G105" s="640" t="s">
        <v>368</v>
      </c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>
        <v>70740060045</v>
      </c>
      <c r="S105" s="640"/>
      <c r="T105" s="641" t="s">
        <v>2665</v>
      </c>
      <c r="U105" s="642"/>
    </row>
    <row r="106" spans="1:21" x14ac:dyDescent="0.3">
      <c r="A106" s="605"/>
      <c r="B106" s="970"/>
      <c r="C106" s="10">
        <f>D105</f>
        <v>0.29799999999999999</v>
      </c>
      <c r="D106" s="10">
        <f>C106+0.08</f>
        <v>0.378</v>
      </c>
      <c r="E106" s="611"/>
      <c r="F106" s="621"/>
      <c r="G106" s="621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 t="s">
        <v>2757</v>
      </c>
      <c r="S106" s="621"/>
      <c r="T106" s="633"/>
      <c r="U106" s="636"/>
    </row>
    <row r="107" spans="1:21" x14ac:dyDescent="0.3">
      <c r="A107" s="605"/>
      <c r="B107" s="970"/>
      <c r="C107" s="10">
        <f>D106</f>
        <v>0.378</v>
      </c>
      <c r="D107" s="10">
        <f>C107+0.123</f>
        <v>0.501</v>
      </c>
      <c r="E107" s="611"/>
      <c r="F107" s="621"/>
      <c r="G107" s="621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>
        <v>70740060071</v>
      </c>
      <c r="S107" s="621"/>
      <c r="T107" s="633"/>
      <c r="U107" s="636"/>
    </row>
    <row r="108" spans="1:21" x14ac:dyDescent="0.3">
      <c r="A108" s="605"/>
      <c r="B108" s="970"/>
      <c r="C108" s="10">
        <f>D107</f>
        <v>0.501</v>
      </c>
      <c r="D108" s="10">
        <f>C108+0.345</f>
        <v>0.84599999999999997</v>
      </c>
      <c r="E108" s="611"/>
      <c r="F108" s="621"/>
      <c r="G108" s="621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 t="s">
        <v>2758</v>
      </c>
      <c r="S108" s="621"/>
      <c r="T108" s="633"/>
      <c r="U108" s="636"/>
    </row>
    <row r="109" spans="1:21" s="407" customFormat="1" ht="15" thickBot="1" x14ac:dyDescent="0.35">
      <c r="A109" s="606"/>
      <c r="B109" s="964"/>
      <c r="C109" s="16">
        <v>0.85</v>
      </c>
      <c r="D109" s="16">
        <v>0.97</v>
      </c>
      <c r="E109" s="612"/>
      <c r="F109" s="631"/>
      <c r="G109" s="631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 t="s">
        <v>2759</v>
      </c>
      <c r="S109" s="631"/>
      <c r="T109" s="634"/>
      <c r="U109" s="637"/>
    </row>
    <row r="110" spans="1:21" x14ac:dyDescent="0.3">
      <c r="A110" s="604" t="s">
        <v>2760</v>
      </c>
      <c r="B110" s="963" t="s">
        <v>2761</v>
      </c>
      <c r="C110" s="30">
        <v>0</v>
      </c>
      <c r="D110" s="30">
        <v>1.6E-2</v>
      </c>
      <c r="E110" s="610">
        <v>0.86</v>
      </c>
      <c r="F110" s="640">
        <v>12960</v>
      </c>
      <c r="G110" s="640" t="s">
        <v>368</v>
      </c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 t="s">
        <v>2762</v>
      </c>
      <c r="S110" s="640"/>
      <c r="T110" s="641" t="s">
        <v>2665</v>
      </c>
      <c r="U110" s="642" t="s">
        <v>67</v>
      </c>
    </row>
    <row r="111" spans="1:21" x14ac:dyDescent="0.3">
      <c r="A111" s="605"/>
      <c r="B111" s="970"/>
      <c r="C111" s="10">
        <f>D110</f>
        <v>1.6E-2</v>
      </c>
      <c r="D111" s="10">
        <f>C111+0.167</f>
        <v>0.183</v>
      </c>
      <c r="E111" s="611"/>
      <c r="F111" s="621"/>
      <c r="G111" s="621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 t="s">
        <v>2687</v>
      </c>
      <c r="S111" s="621"/>
      <c r="T111" s="633"/>
      <c r="U111" s="636"/>
    </row>
    <row r="112" spans="1:21" x14ac:dyDescent="0.3">
      <c r="A112" s="605"/>
      <c r="B112" s="970"/>
      <c r="C112" s="10">
        <f>D111</f>
        <v>0.183</v>
      </c>
      <c r="D112" s="10">
        <f>D111+0.215</f>
        <v>0.39800000000000002</v>
      </c>
      <c r="E112" s="611"/>
      <c r="F112" s="621"/>
      <c r="G112" s="621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 t="s">
        <v>2763</v>
      </c>
      <c r="S112" s="621"/>
      <c r="T112" s="633"/>
      <c r="U112" s="636"/>
    </row>
    <row r="113" spans="1:21" ht="15" thickBot="1" x14ac:dyDescent="0.35">
      <c r="A113" s="606"/>
      <c r="B113" s="964"/>
      <c r="C113" s="16">
        <f>D112</f>
        <v>0.39800000000000002</v>
      </c>
      <c r="D113" s="16">
        <f>D112+0.457</f>
        <v>0.85499999999999998</v>
      </c>
      <c r="E113" s="612"/>
      <c r="F113" s="631"/>
      <c r="G113" s="631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>
        <v>70740060044</v>
      </c>
      <c r="S113" s="631"/>
      <c r="T113" s="634"/>
      <c r="U113" s="637"/>
    </row>
    <row r="114" spans="1:21" ht="24.6" thickBot="1" x14ac:dyDescent="0.35">
      <c r="A114" s="22" t="s">
        <v>2764</v>
      </c>
      <c r="B114" s="305" t="s">
        <v>2765</v>
      </c>
      <c r="C114" s="24">
        <v>0</v>
      </c>
      <c r="D114" s="24">
        <v>0.18</v>
      </c>
      <c r="E114" s="24">
        <v>0.18</v>
      </c>
      <c r="F114" s="27">
        <v>5800</v>
      </c>
      <c r="G114" s="27" t="s">
        <v>368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>
        <v>70740030118</v>
      </c>
      <c r="S114" s="27"/>
      <c r="T114" s="3" t="s">
        <v>2665</v>
      </c>
      <c r="U114" s="5" t="s">
        <v>67</v>
      </c>
    </row>
    <row r="115" spans="1:21" x14ac:dyDescent="0.3">
      <c r="A115" s="604" t="s">
        <v>2766</v>
      </c>
      <c r="B115" s="963" t="s">
        <v>2767</v>
      </c>
      <c r="C115" s="610">
        <v>0</v>
      </c>
      <c r="D115" s="610">
        <v>0.49</v>
      </c>
      <c r="E115" s="610">
        <v>0.67</v>
      </c>
      <c r="F115" s="640"/>
      <c r="G115" s="640" t="s">
        <v>368</v>
      </c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 t="s">
        <v>2768</v>
      </c>
      <c r="S115" s="640"/>
      <c r="T115" s="641" t="s">
        <v>2665</v>
      </c>
      <c r="U115" s="642" t="s">
        <v>67</v>
      </c>
    </row>
    <row r="116" spans="1:21" x14ac:dyDescent="0.3">
      <c r="A116" s="605"/>
      <c r="B116" s="970"/>
      <c r="C116" s="611"/>
      <c r="D116" s="611"/>
      <c r="E116" s="611"/>
      <c r="F116" s="621"/>
      <c r="G116" s="621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>
        <v>70740030070</v>
      </c>
      <c r="S116" s="621"/>
      <c r="T116" s="633"/>
      <c r="U116" s="636"/>
    </row>
    <row r="117" spans="1:21" x14ac:dyDescent="0.3">
      <c r="A117" s="605"/>
      <c r="B117" s="970"/>
      <c r="C117" s="611">
        <v>0.49</v>
      </c>
      <c r="D117" s="611">
        <v>0.67</v>
      </c>
      <c r="E117" s="611"/>
      <c r="F117" s="621"/>
      <c r="G117" s="621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 t="s">
        <v>2768</v>
      </c>
      <c r="S117" s="621"/>
      <c r="T117" s="633"/>
      <c r="U117" s="636"/>
    </row>
    <row r="118" spans="1:21" ht="15" thickBot="1" x14ac:dyDescent="0.35">
      <c r="A118" s="606"/>
      <c r="B118" s="964"/>
      <c r="C118" s="612"/>
      <c r="D118" s="612"/>
      <c r="E118" s="612"/>
      <c r="F118" s="631"/>
      <c r="G118" s="631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 t="s">
        <v>2769</v>
      </c>
      <c r="S118" s="631"/>
      <c r="T118" s="634"/>
      <c r="U118" s="637"/>
    </row>
    <row r="119" spans="1:21" ht="24.6" thickBot="1" x14ac:dyDescent="0.35">
      <c r="A119" s="22" t="s">
        <v>2770</v>
      </c>
      <c r="B119" s="305" t="s">
        <v>2771</v>
      </c>
      <c r="C119" s="24">
        <v>0</v>
      </c>
      <c r="D119" s="24">
        <v>2.17</v>
      </c>
      <c r="E119" s="24">
        <v>2.17</v>
      </c>
      <c r="F119" s="27">
        <v>8800</v>
      </c>
      <c r="G119" s="3" t="s">
        <v>2691</v>
      </c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>
        <v>70740040120</v>
      </c>
      <c r="S119" s="27"/>
      <c r="T119" s="3" t="s">
        <v>2665</v>
      </c>
      <c r="U119" s="5" t="s">
        <v>67</v>
      </c>
    </row>
    <row r="120" spans="1:21" x14ac:dyDescent="0.3">
      <c r="A120" s="604" t="s">
        <v>2772</v>
      </c>
      <c r="B120" s="963" t="s">
        <v>2773</v>
      </c>
      <c r="C120" s="30">
        <v>0</v>
      </c>
      <c r="D120" s="30">
        <v>0.51300000000000001</v>
      </c>
      <c r="E120" s="610">
        <v>1.45</v>
      </c>
      <c r="F120" s="640">
        <v>5800</v>
      </c>
      <c r="G120" s="640" t="s">
        <v>368</v>
      </c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 t="s">
        <v>2774</v>
      </c>
      <c r="S120" s="640"/>
      <c r="T120" s="641" t="s">
        <v>2665</v>
      </c>
      <c r="U120" s="642"/>
    </row>
    <row r="121" spans="1:21" x14ac:dyDescent="0.3">
      <c r="A121" s="605"/>
      <c r="B121" s="970"/>
      <c r="C121" s="10">
        <v>0.51300000000000001</v>
      </c>
      <c r="D121" s="10">
        <f>C121+0.125</f>
        <v>0.63800000000000001</v>
      </c>
      <c r="E121" s="611"/>
      <c r="F121" s="621"/>
      <c r="G121" s="621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 t="s">
        <v>2775</v>
      </c>
      <c r="S121" s="621"/>
      <c r="T121" s="633"/>
      <c r="U121" s="636"/>
    </row>
    <row r="122" spans="1:21" ht="24" x14ac:dyDescent="0.3">
      <c r="A122" s="605"/>
      <c r="B122" s="970"/>
      <c r="C122" s="611">
        <v>0.63500000000000001</v>
      </c>
      <c r="D122" s="611">
        <v>0.86</v>
      </c>
      <c r="E122" s="611"/>
      <c r="F122" s="621"/>
      <c r="G122" s="621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 t="s">
        <v>2776</v>
      </c>
      <c r="S122" s="621"/>
      <c r="T122" s="633"/>
      <c r="U122" s="636"/>
    </row>
    <row r="123" spans="1:21" x14ac:dyDescent="0.3">
      <c r="A123" s="605"/>
      <c r="B123" s="970"/>
      <c r="C123" s="611"/>
      <c r="D123" s="611"/>
      <c r="E123" s="611"/>
      <c r="F123" s="621"/>
      <c r="G123" s="621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4" t="s">
        <v>2777</v>
      </c>
      <c r="S123" s="621"/>
      <c r="T123" s="633"/>
      <c r="U123" s="636"/>
    </row>
    <row r="124" spans="1:21" ht="24" x14ac:dyDescent="0.3">
      <c r="A124" s="605"/>
      <c r="B124" s="970"/>
      <c r="C124" s="611">
        <v>0.86</v>
      </c>
      <c r="D124" s="611">
        <v>1.45</v>
      </c>
      <c r="E124" s="611"/>
      <c r="F124" s="621"/>
      <c r="G124" s="621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4" t="s">
        <v>2776</v>
      </c>
      <c r="S124" s="621"/>
      <c r="T124" s="633"/>
      <c r="U124" s="636"/>
    </row>
    <row r="125" spans="1:21" ht="15" thickBot="1" x14ac:dyDescent="0.35">
      <c r="A125" s="606"/>
      <c r="B125" s="964"/>
      <c r="C125" s="612"/>
      <c r="D125" s="612"/>
      <c r="E125" s="612"/>
      <c r="F125" s="631"/>
      <c r="G125" s="631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20" t="s">
        <v>2778</v>
      </c>
      <c r="S125" s="631"/>
      <c r="T125" s="634"/>
      <c r="U125" s="637"/>
    </row>
    <row r="126" spans="1:21" ht="15.75" customHeight="1" x14ac:dyDescent="0.3">
      <c r="A126" s="604" t="s">
        <v>2779</v>
      </c>
      <c r="B126" s="963" t="s">
        <v>2780</v>
      </c>
      <c r="C126" s="30">
        <v>0</v>
      </c>
      <c r="D126" s="30">
        <v>0.26900000000000002</v>
      </c>
      <c r="E126" s="610">
        <v>2.4500000000000002</v>
      </c>
      <c r="F126" s="640">
        <v>16080</v>
      </c>
      <c r="G126" s="640" t="s">
        <v>368</v>
      </c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 t="s">
        <v>2751</v>
      </c>
      <c r="S126" s="640"/>
      <c r="T126" s="641" t="s">
        <v>2665</v>
      </c>
      <c r="U126" s="642" t="s">
        <v>67</v>
      </c>
    </row>
    <row r="127" spans="1:21" x14ac:dyDescent="0.3">
      <c r="A127" s="605"/>
      <c r="B127" s="970"/>
      <c r="C127" s="10">
        <f t="shared" ref="C127:C132" si="0">D126</f>
        <v>0.26900000000000002</v>
      </c>
      <c r="D127" s="10">
        <f>C127+0.219</f>
        <v>0.48799999999999999</v>
      </c>
      <c r="E127" s="611"/>
      <c r="F127" s="621"/>
      <c r="G127" s="621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 t="s">
        <v>2752</v>
      </c>
      <c r="S127" s="621"/>
      <c r="T127" s="633"/>
      <c r="U127" s="636"/>
    </row>
    <row r="128" spans="1:21" x14ac:dyDescent="0.3">
      <c r="A128" s="605"/>
      <c r="B128" s="970"/>
      <c r="C128" s="10">
        <f t="shared" si="0"/>
        <v>0.48799999999999999</v>
      </c>
      <c r="D128" s="10">
        <f>C128+0.11</f>
        <v>0.59799999999999998</v>
      </c>
      <c r="E128" s="611"/>
      <c r="F128" s="621"/>
      <c r="G128" s="621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 t="s">
        <v>2753</v>
      </c>
      <c r="S128" s="621"/>
      <c r="T128" s="633"/>
      <c r="U128" s="636"/>
    </row>
    <row r="129" spans="1:21" x14ac:dyDescent="0.3">
      <c r="A129" s="605"/>
      <c r="B129" s="970"/>
      <c r="C129" s="10">
        <f t="shared" si="0"/>
        <v>0.59799999999999998</v>
      </c>
      <c r="D129" s="10">
        <f>C129+0.769</f>
        <v>1.367</v>
      </c>
      <c r="E129" s="611"/>
      <c r="F129" s="621"/>
      <c r="G129" s="621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 t="s">
        <v>2781</v>
      </c>
      <c r="S129" s="621"/>
      <c r="T129" s="633"/>
      <c r="U129" s="636"/>
    </row>
    <row r="130" spans="1:21" x14ac:dyDescent="0.3">
      <c r="A130" s="605"/>
      <c r="B130" s="970"/>
      <c r="C130" s="10">
        <f t="shared" si="0"/>
        <v>1.367</v>
      </c>
      <c r="D130" s="10">
        <f>C130+0.094</f>
        <v>1.4610000000000001</v>
      </c>
      <c r="E130" s="611"/>
      <c r="F130" s="621"/>
      <c r="G130" s="621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 t="s">
        <v>2753</v>
      </c>
      <c r="S130" s="621"/>
      <c r="T130" s="633"/>
      <c r="U130" s="636"/>
    </row>
    <row r="131" spans="1:21" x14ac:dyDescent="0.3">
      <c r="A131" s="605"/>
      <c r="B131" s="970"/>
      <c r="C131" s="10">
        <f t="shared" si="0"/>
        <v>1.4610000000000001</v>
      </c>
      <c r="D131" s="10">
        <f>C131+0.267</f>
        <v>1.7280000000000002</v>
      </c>
      <c r="E131" s="611"/>
      <c r="F131" s="621"/>
      <c r="G131" s="621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 t="s">
        <v>2782</v>
      </c>
      <c r="S131" s="621"/>
      <c r="T131" s="633"/>
      <c r="U131" s="636"/>
    </row>
    <row r="132" spans="1:21" x14ac:dyDescent="0.3">
      <c r="A132" s="605"/>
      <c r="B132" s="970"/>
      <c r="C132" s="611">
        <f t="shared" si="0"/>
        <v>1.7280000000000002</v>
      </c>
      <c r="D132" s="611">
        <f>C132+0.474</f>
        <v>2.202</v>
      </c>
      <c r="E132" s="611"/>
      <c r="F132" s="621"/>
      <c r="G132" s="621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 t="s">
        <v>2783</v>
      </c>
      <c r="S132" s="621"/>
      <c r="T132" s="633"/>
      <c r="U132" s="636"/>
    </row>
    <row r="133" spans="1:21" ht="15" customHeight="1" x14ac:dyDescent="0.3">
      <c r="A133" s="605"/>
      <c r="B133" s="970"/>
      <c r="C133" s="611"/>
      <c r="D133" s="611"/>
      <c r="E133" s="611"/>
      <c r="F133" s="621"/>
      <c r="G133" s="621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 t="s">
        <v>2784</v>
      </c>
      <c r="S133" s="621"/>
      <c r="T133" s="633"/>
      <c r="U133" s="636"/>
    </row>
    <row r="134" spans="1:21" ht="15.75" customHeight="1" thickBot="1" x14ac:dyDescent="0.35">
      <c r="A134" s="606"/>
      <c r="B134" s="964"/>
      <c r="C134" s="16">
        <f>D132</f>
        <v>2.202</v>
      </c>
      <c r="D134" s="16">
        <f>E126</f>
        <v>2.4500000000000002</v>
      </c>
      <c r="E134" s="612"/>
      <c r="F134" s="631"/>
      <c r="G134" s="631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 t="s">
        <v>2785</v>
      </c>
      <c r="S134" s="631"/>
      <c r="T134" s="634"/>
      <c r="U134" s="637"/>
    </row>
    <row r="135" spans="1:21" x14ac:dyDescent="0.3">
      <c r="A135" s="604" t="s">
        <v>2786</v>
      </c>
      <c r="B135" s="963" t="s">
        <v>2787</v>
      </c>
      <c r="C135" s="30">
        <v>0</v>
      </c>
      <c r="D135" s="30">
        <v>0.16900000000000001</v>
      </c>
      <c r="E135" s="610">
        <v>0.27</v>
      </c>
      <c r="F135" s="640">
        <v>1240</v>
      </c>
      <c r="G135" s="640" t="s">
        <v>368</v>
      </c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 t="s">
        <v>2788</v>
      </c>
      <c r="S135" s="640"/>
      <c r="T135" s="641" t="s">
        <v>2665</v>
      </c>
      <c r="U135" s="642"/>
    </row>
    <row r="136" spans="1:21" x14ac:dyDescent="0.3">
      <c r="A136" s="605"/>
      <c r="B136" s="970"/>
      <c r="C136" s="10">
        <v>0</v>
      </c>
      <c r="D136" s="10">
        <v>0.16900000000000001</v>
      </c>
      <c r="E136" s="611"/>
      <c r="F136" s="621"/>
      <c r="G136" s="621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 t="s">
        <v>2789</v>
      </c>
      <c r="S136" s="621"/>
      <c r="T136" s="633"/>
      <c r="U136" s="636"/>
    </row>
    <row r="137" spans="1:21" ht="15" thickBot="1" x14ac:dyDescent="0.35">
      <c r="A137" s="606"/>
      <c r="B137" s="964"/>
      <c r="C137" s="16">
        <v>0.16900000000000001</v>
      </c>
      <c r="D137" s="16">
        <v>0.27</v>
      </c>
      <c r="E137" s="612"/>
      <c r="F137" s="631"/>
      <c r="G137" s="631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 t="s">
        <v>2790</v>
      </c>
      <c r="S137" s="631"/>
      <c r="T137" s="634"/>
      <c r="U137" s="637"/>
    </row>
    <row r="138" spans="1:21" x14ac:dyDescent="0.3">
      <c r="A138" s="604" t="s">
        <v>2791</v>
      </c>
      <c r="B138" s="963" t="s">
        <v>2792</v>
      </c>
      <c r="C138" s="610">
        <v>0</v>
      </c>
      <c r="D138" s="610">
        <v>0.153</v>
      </c>
      <c r="E138" s="610">
        <v>0.47</v>
      </c>
      <c r="F138" s="640">
        <v>2760</v>
      </c>
      <c r="G138" s="640" t="s">
        <v>368</v>
      </c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>
        <v>70740020054</v>
      </c>
      <c r="S138" s="640"/>
      <c r="T138" s="641" t="s">
        <v>2665</v>
      </c>
      <c r="U138" s="642"/>
    </row>
    <row r="139" spans="1:21" x14ac:dyDescent="0.3">
      <c r="A139" s="605"/>
      <c r="B139" s="970"/>
      <c r="C139" s="611"/>
      <c r="D139" s="611"/>
      <c r="E139" s="611"/>
      <c r="F139" s="621"/>
      <c r="G139" s="621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 t="s">
        <v>2793</v>
      </c>
      <c r="S139" s="621"/>
      <c r="T139" s="633"/>
      <c r="U139" s="636"/>
    </row>
    <row r="140" spans="1:21" x14ac:dyDescent="0.3">
      <c r="A140" s="605"/>
      <c r="B140" s="970"/>
      <c r="C140" s="48">
        <f>D138</f>
        <v>0.153</v>
      </c>
      <c r="D140" s="48">
        <f>C140+0.152</f>
        <v>0.30499999999999999</v>
      </c>
      <c r="E140" s="611"/>
      <c r="F140" s="621"/>
      <c r="G140" s="621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 t="s">
        <v>2794</v>
      </c>
      <c r="S140" s="621"/>
      <c r="T140" s="633"/>
      <c r="U140" s="636"/>
    </row>
    <row r="141" spans="1:21" ht="15" thickBot="1" x14ac:dyDescent="0.35">
      <c r="A141" s="606"/>
      <c r="B141" s="964"/>
      <c r="C141" s="46">
        <f>D140</f>
        <v>0.30499999999999999</v>
      </c>
      <c r="D141" s="46">
        <f>C141+0.168</f>
        <v>0.47299999999999998</v>
      </c>
      <c r="E141" s="612"/>
      <c r="F141" s="631"/>
      <c r="G141" s="631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 t="s">
        <v>2795</v>
      </c>
      <c r="S141" s="631"/>
      <c r="T141" s="634"/>
      <c r="U141" s="637"/>
    </row>
    <row r="142" spans="1:21" x14ac:dyDescent="0.3">
      <c r="A142" s="604" t="s">
        <v>2796</v>
      </c>
      <c r="B142" s="963" t="s">
        <v>2797</v>
      </c>
      <c r="C142" s="30">
        <v>0</v>
      </c>
      <c r="D142" s="30">
        <v>0.14000000000000001</v>
      </c>
      <c r="E142" s="610">
        <v>0.31</v>
      </c>
      <c r="F142" s="613">
        <v>1110</v>
      </c>
      <c r="G142" s="640" t="s">
        <v>368</v>
      </c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>
        <v>70740020057</v>
      </c>
      <c r="S142" s="640"/>
      <c r="T142" s="641" t="s">
        <v>2665</v>
      </c>
      <c r="U142" s="642"/>
    </row>
    <row r="143" spans="1:21" x14ac:dyDescent="0.3">
      <c r="A143" s="605"/>
      <c r="B143" s="970"/>
      <c r="C143" s="10">
        <v>0.14000000000000001</v>
      </c>
      <c r="D143" s="10">
        <v>0.30199999999999999</v>
      </c>
      <c r="E143" s="611"/>
      <c r="F143" s="614"/>
      <c r="G143" s="621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 t="s">
        <v>2798</v>
      </c>
      <c r="S143" s="621"/>
      <c r="T143" s="633"/>
      <c r="U143" s="636"/>
    </row>
    <row r="144" spans="1:21" ht="15" thickBot="1" x14ac:dyDescent="0.35">
      <c r="A144" s="606"/>
      <c r="B144" s="964"/>
      <c r="C144" s="16">
        <v>0.30199999999999999</v>
      </c>
      <c r="D144" s="16">
        <v>0.31</v>
      </c>
      <c r="E144" s="612"/>
      <c r="F144" s="638"/>
      <c r="G144" s="631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 t="s">
        <v>2799</v>
      </c>
      <c r="S144" s="631"/>
      <c r="T144" s="634"/>
      <c r="U144" s="637"/>
    </row>
    <row r="145" spans="1:21" ht="24.6" thickBot="1" x14ac:dyDescent="0.35">
      <c r="A145" s="22" t="s">
        <v>2800</v>
      </c>
      <c r="B145" s="305" t="s">
        <v>2801</v>
      </c>
      <c r="C145" s="24">
        <v>0</v>
      </c>
      <c r="D145" s="24">
        <v>0.57299999999999995</v>
      </c>
      <c r="E145" s="24">
        <v>0.57299999999999995</v>
      </c>
      <c r="F145" s="25">
        <f>E145*3.5*1000</f>
        <v>2005.4999999999995</v>
      </c>
      <c r="G145" s="27" t="s">
        <v>368</v>
      </c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3">
        <v>70740020068</v>
      </c>
      <c r="S145" s="27"/>
      <c r="T145" s="3" t="s">
        <v>2665</v>
      </c>
      <c r="U145" s="5"/>
    </row>
    <row r="146" spans="1:21" x14ac:dyDescent="0.3">
      <c r="A146" s="604" t="s">
        <v>2802</v>
      </c>
      <c r="B146" s="963" t="s">
        <v>2803</v>
      </c>
      <c r="C146" s="30">
        <v>0</v>
      </c>
      <c r="D146" s="30">
        <v>0.13</v>
      </c>
      <c r="E146" s="610">
        <v>1.45</v>
      </c>
      <c r="F146" s="640">
        <v>5800</v>
      </c>
      <c r="G146" s="640" t="s">
        <v>368</v>
      </c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>
        <v>70740030067</v>
      </c>
      <c r="S146" s="640"/>
      <c r="T146" s="641" t="s">
        <v>2665</v>
      </c>
      <c r="U146" s="642"/>
    </row>
    <row r="147" spans="1:21" x14ac:dyDescent="0.3">
      <c r="A147" s="605"/>
      <c r="B147" s="970"/>
      <c r="C147" s="10">
        <v>0.13</v>
      </c>
      <c r="D147" s="10">
        <v>0.441</v>
      </c>
      <c r="E147" s="611"/>
      <c r="F147" s="621"/>
      <c r="G147" s="621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 t="s">
        <v>2708</v>
      </c>
      <c r="S147" s="621"/>
      <c r="T147" s="633"/>
      <c r="U147" s="636"/>
    </row>
    <row r="148" spans="1:21" x14ac:dyDescent="0.3">
      <c r="A148" s="605"/>
      <c r="B148" s="970"/>
      <c r="C148" s="10">
        <v>0.441</v>
      </c>
      <c r="D148" s="10">
        <v>1.2430000000000001</v>
      </c>
      <c r="E148" s="611"/>
      <c r="F148" s="621"/>
      <c r="G148" s="621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>
        <v>70740030114</v>
      </c>
      <c r="S148" s="621"/>
      <c r="T148" s="633"/>
      <c r="U148" s="636"/>
    </row>
    <row r="149" spans="1:21" x14ac:dyDescent="0.3">
      <c r="A149" s="605"/>
      <c r="B149" s="970"/>
      <c r="C149" s="10">
        <v>1.2430000000000001</v>
      </c>
      <c r="D149" s="10">
        <v>1.3080000000000001</v>
      </c>
      <c r="E149" s="611"/>
      <c r="F149" s="621"/>
      <c r="G149" s="621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>
        <v>70740030054</v>
      </c>
      <c r="S149" s="621"/>
      <c r="T149" s="633"/>
      <c r="U149" s="636"/>
    </row>
    <row r="150" spans="1:21" ht="15" thickBot="1" x14ac:dyDescent="0.35">
      <c r="A150" s="606"/>
      <c r="B150" s="964"/>
      <c r="C150" s="16">
        <v>1.2430000000000001</v>
      </c>
      <c r="D150" s="16">
        <v>1.45</v>
      </c>
      <c r="E150" s="612"/>
      <c r="F150" s="631"/>
      <c r="G150" s="631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 t="s">
        <v>2804</v>
      </c>
      <c r="S150" s="631"/>
      <c r="T150" s="634"/>
      <c r="U150" s="637"/>
    </row>
    <row r="151" spans="1:21" ht="24.6" thickBot="1" x14ac:dyDescent="0.35">
      <c r="A151" s="22" t="s">
        <v>2805</v>
      </c>
      <c r="B151" s="305" t="s">
        <v>2806</v>
      </c>
      <c r="C151" s="24">
        <v>0</v>
      </c>
      <c r="D151" s="24">
        <v>0.34</v>
      </c>
      <c r="E151" s="24">
        <v>0.34</v>
      </c>
      <c r="F151" s="27">
        <v>1360</v>
      </c>
      <c r="G151" s="27" t="s">
        <v>368</v>
      </c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>
        <v>70740030071</v>
      </c>
      <c r="S151" s="27"/>
      <c r="T151" s="3" t="s">
        <v>2665</v>
      </c>
      <c r="U151" s="5"/>
    </row>
    <row r="152" spans="1:21" x14ac:dyDescent="0.3">
      <c r="A152" s="604" t="s">
        <v>2807</v>
      </c>
      <c r="B152" s="963" t="s">
        <v>2808</v>
      </c>
      <c r="C152" s="30">
        <v>0</v>
      </c>
      <c r="D152" s="30">
        <v>0.77400000000000002</v>
      </c>
      <c r="E152" s="610">
        <v>0.79</v>
      </c>
      <c r="F152" s="640">
        <v>3161</v>
      </c>
      <c r="G152" s="640" t="s">
        <v>368</v>
      </c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>
        <v>70740030100</v>
      </c>
      <c r="S152" s="640"/>
      <c r="T152" s="641" t="s">
        <v>2665</v>
      </c>
      <c r="U152" s="642"/>
    </row>
    <row r="153" spans="1:21" ht="15" thickBot="1" x14ac:dyDescent="0.35">
      <c r="A153" s="606"/>
      <c r="B153" s="964"/>
      <c r="C153" s="16">
        <f>D152</f>
        <v>0.77400000000000002</v>
      </c>
      <c r="D153" s="16">
        <v>0.79</v>
      </c>
      <c r="E153" s="612"/>
      <c r="F153" s="631"/>
      <c r="G153" s="631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 t="s">
        <v>2809</v>
      </c>
      <c r="S153" s="631"/>
      <c r="T153" s="634"/>
      <c r="U153" s="637"/>
    </row>
    <row r="154" spans="1:21" x14ac:dyDescent="0.3">
      <c r="A154" s="604" t="s">
        <v>2810</v>
      </c>
      <c r="B154" s="963" t="s">
        <v>2811</v>
      </c>
      <c r="C154" s="30">
        <v>0</v>
      </c>
      <c r="D154" s="30">
        <v>0.23699999999999999</v>
      </c>
      <c r="E154" s="610">
        <v>1.0900000000000001</v>
      </c>
      <c r="F154" s="640">
        <f>4470</f>
        <v>4470</v>
      </c>
      <c r="G154" s="640" t="s">
        <v>2812</v>
      </c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 t="s">
        <v>2813</v>
      </c>
      <c r="S154" s="640"/>
      <c r="T154" s="641" t="s">
        <v>2665</v>
      </c>
      <c r="U154" s="642"/>
    </row>
    <row r="155" spans="1:21" x14ac:dyDescent="0.3">
      <c r="A155" s="605"/>
      <c r="B155" s="970"/>
      <c r="C155" s="10">
        <v>0.23699999999999999</v>
      </c>
      <c r="D155" s="10">
        <v>0.254</v>
      </c>
      <c r="E155" s="611"/>
      <c r="F155" s="621"/>
      <c r="G155" s="621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 t="s">
        <v>2814</v>
      </c>
      <c r="S155" s="621"/>
      <c r="T155" s="633"/>
      <c r="U155" s="636"/>
    </row>
    <row r="156" spans="1:21" x14ac:dyDescent="0.3">
      <c r="A156" s="605"/>
      <c r="B156" s="970"/>
      <c r="C156" s="10">
        <v>0.254</v>
      </c>
      <c r="D156" s="10">
        <v>0.81</v>
      </c>
      <c r="E156" s="611"/>
      <c r="F156" s="621"/>
      <c r="G156" s="621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>
        <v>70740040312</v>
      </c>
      <c r="S156" s="621"/>
      <c r="T156" s="633"/>
      <c r="U156" s="636"/>
    </row>
    <row r="157" spans="1:21" ht="15" thickBot="1" x14ac:dyDescent="0.35">
      <c r="A157" s="606"/>
      <c r="B157" s="964"/>
      <c r="C157" s="16">
        <f>D156</f>
        <v>0.81</v>
      </c>
      <c r="D157" s="16">
        <v>1.0900000000000001</v>
      </c>
      <c r="E157" s="612"/>
      <c r="F157" s="631"/>
      <c r="G157" s="631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 t="s">
        <v>2815</v>
      </c>
      <c r="S157" s="631"/>
      <c r="T157" s="634"/>
      <c r="U157" s="637"/>
    </row>
    <row r="158" spans="1:21" x14ac:dyDescent="0.3">
      <c r="A158" s="604" t="s">
        <v>2816</v>
      </c>
      <c r="B158" s="963" t="s">
        <v>2817</v>
      </c>
      <c r="C158" s="30">
        <v>0</v>
      </c>
      <c r="D158" s="30">
        <v>0.4</v>
      </c>
      <c r="E158" s="610">
        <v>0.82</v>
      </c>
      <c r="F158" s="640">
        <v>3000</v>
      </c>
      <c r="G158" s="640" t="s">
        <v>32</v>
      </c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>
        <v>70740080096</v>
      </c>
      <c r="S158" s="640"/>
      <c r="T158" s="641" t="s">
        <v>2665</v>
      </c>
      <c r="U158" s="642"/>
    </row>
    <row r="159" spans="1:21" ht="15" thickBot="1" x14ac:dyDescent="0.35">
      <c r="A159" s="606"/>
      <c r="B159" s="964"/>
      <c r="C159" s="16">
        <v>0.4</v>
      </c>
      <c r="D159" s="16">
        <v>0.82</v>
      </c>
      <c r="E159" s="612"/>
      <c r="F159" s="631"/>
      <c r="G159" s="631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 t="s">
        <v>2818</v>
      </c>
      <c r="S159" s="631"/>
      <c r="T159" s="634"/>
      <c r="U159" s="637"/>
    </row>
    <row r="160" spans="1:21" x14ac:dyDescent="0.3">
      <c r="A160" s="604" t="s">
        <v>2819</v>
      </c>
      <c r="B160" s="963" t="s">
        <v>2820</v>
      </c>
      <c r="C160" s="610">
        <v>0</v>
      </c>
      <c r="D160" s="610">
        <v>0.31</v>
      </c>
      <c r="E160" s="610">
        <v>0.31</v>
      </c>
      <c r="F160" s="640">
        <v>930</v>
      </c>
      <c r="G160" s="640" t="s">
        <v>368</v>
      </c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 t="s">
        <v>2821</v>
      </c>
      <c r="S160" s="640"/>
      <c r="T160" s="641" t="s">
        <v>2665</v>
      </c>
      <c r="U160" s="642"/>
    </row>
    <row r="161" spans="1:21" ht="15" thickBot="1" x14ac:dyDescent="0.35">
      <c r="A161" s="606"/>
      <c r="B161" s="964"/>
      <c r="C161" s="612"/>
      <c r="D161" s="612"/>
      <c r="E161" s="612"/>
      <c r="F161" s="631"/>
      <c r="G161" s="631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 t="s">
        <v>2822</v>
      </c>
      <c r="S161" s="631"/>
      <c r="T161" s="634"/>
      <c r="U161" s="637"/>
    </row>
    <row r="162" spans="1:21" ht="24.6" thickBot="1" x14ac:dyDescent="0.35">
      <c r="A162" s="22" t="s">
        <v>2823</v>
      </c>
      <c r="B162" s="305" t="s">
        <v>2824</v>
      </c>
      <c r="C162" s="24">
        <v>0</v>
      </c>
      <c r="D162" s="24">
        <v>0.09</v>
      </c>
      <c r="E162" s="24">
        <v>0.09</v>
      </c>
      <c r="F162" s="27">
        <v>360</v>
      </c>
      <c r="G162" s="27" t="s">
        <v>368</v>
      </c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 t="s">
        <v>2825</v>
      </c>
      <c r="S162" s="27"/>
      <c r="T162" s="3" t="s">
        <v>2665</v>
      </c>
      <c r="U162" s="5"/>
    </row>
    <row r="163" spans="1:21" x14ac:dyDescent="0.3">
      <c r="A163" s="604" t="s">
        <v>2826</v>
      </c>
      <c r="B163" s="963" t="s">
        <v>2827</v>
      </c>
      <c r="C163" s="30">
        <v>0</v>
      </c>
      <c r="D163" s="30">
        <v>0.39</v>
      </c>
      <c r="E163" s="610">
        <v>0.94</v>
      </c>
      <c r="F163" s="640">
        <v>3580</v>
      </c>
      <c r="G163" s="640" t="s">
        <v>368</v>
      </c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>
        <v>70740010085</v>
      </c>
      <c r="S163" s="640"/>
      <c r="T163" s="641" t="s">
        <v>2665</v>
      </c>
      <c r="U163" s="642" t="s">
        <v>67</v>
      </c>
    </row>
    <row r="164" spans="1:21" x14ac:dyDescent="0.3">
      <c r="A164" s="605"/>
      <c r="B164" s="970"/>
      <c r="C164" s="611">
        <v>0.39</v>
      </c>
      <c r="D164" s="611">
        <v>0.94</v>
      </c>
      <c r="E164" s="611"/>
      <c r="F164" s="621"/>
      <c r="G164" s="621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 t="s">
        <v>2828</v>
      </c>
      <c r="S164" s="621"/>
      <c r="T164" s="633"/>
      <c r="U164" s="636"/>
    </row>
    <row r="165" spans="1:21" ht="15" thickBot="1" x14ac:dyDescent="0.35">
      <c r="A165" s="606"/>
      <c r="B165" s="964"/>
      <c r="C165" s="612"/>
      <c r="D165" s="612"/>
      <c r="E165" s="612"/>
      <c r="F165" s="631"/>
      <c r="G165" s="631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 t="s">
        <v>2829</v>
      </c>
      <c r="S165" s="631"/>
      <c r="T165" s="634"/>
      <c r="U165" s="637"/>
    </row>
    <row r="166" spans="1:21" ht="24.6" thickBot="1" x14ac:dyDescent="0.35">
      <c r="A166" s="22" t="s">
        <v>2830</v>
      </c>
      <c r="B166" s="305" t="s">
        <v>2831</v>
      </c>
      <c r="C166" s="24">
        <v>0</v>
      </c>
      <c r="D166" s="24">
        <v>0.36</v>
      </c>
      <c r="E166" s="24">
        <v>0.36</v>
      </c>
      <c r="F166" s="27">
        <v>1310</v>
      </c>
      <c r="G166" s="27" t="s">
        <v>2812</v>
      </c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>
        <v>70740040311</v>
      </c>
      <c r="S166" s="27"/>
      <c r="T166" s="3" t="s">
        <v>2665</v>
      </c>
      <c r="U166" s="5"/>
    </row>
    <row r="167" spans="1:21" ht="24.6" thickBot="1" x14ac:dyDescent="0.35">
      <c r="A167" s="22" t="s">
        <v>2832</v>
      </c>
      <c r="B167" s="305" t="s">
        <v>2833</v>
      </c>
      <c r="C167" s="24">
        <v>0</v>
      </c>
      <c r="D167" s="24">
        <v>0.88</v>
      </c>
      <c r="E167" s="24">
        <v>0.88</v>
      </c>
      <c r="F167" s="27">
        <v>3470</v>
      </c>
      <c r="G167" s="27" t="s">
        <v>368</v>
      </c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3">
        <v>70740040423</v>
      </c>
      <c r="S167" s="27"/>
      <c r="T167" s="3" t="s">
        <v>2665</v>
      </c>
      <c r="U167" s="5" t="s">
        <v>67</v>
      </c>
    </row>
    <row r="168" spans="1:21" x14ac:dyDescent="0.3">
      <c r="A168" s="604" t="s">
        <v>2834</v>
      </c>
      <c r="B168" s="963" t="s">
        <v>2835</v>
      </c>
      <c r="C168" s="610">
        <v>0</v>
      </c>
      <c r="D168" s="610">
        <v>0.88</v>
      </c>
      <c r="E168" s="610">
        <v>1.18</v>
      </c>
      <c r="F168" s="640">
        <v>3840</v>
      </c>
      <c r="G168" s="640" t="s">
        <v>368</v>
      </c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 t="s">
        <v>2836</v>
      </c>
      <c r="S168" s="640"/>
      <c r="T168" s="641" t="s">
        <v>2665</v>
      </c>
      <c r="U168" s="642"/>
    </row>
    <row r="169" spans="1:21" x14ac:dyDescent="0.3">
      <c r="A169" s="605"/>
      <c r="B169" s="970"/>
      <c r="C169" s="611"/>
      <c r="D169" s="611"/>
      <c r="E169" s="611"/>
      <c r="F169" s="621"/>
      <c r="G169" s="621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 t="s">
        <v>2837</v>
      </c>
      <c r="S169" s="621"/>
      <c r="T169" s="633"/>
      <c r="U169" s="636"/>
    </row>
    <row r="170" spans="1:21" x14ac:dyDescent="0.3">
      <c r="A170" s="605"/>
      <c r="B170" s="970"/>
      <c r="C170" s="611"/>
      <c r="D170" s="611"/>
      <c r="E170" s="611"/>
      <c r="F170" s="621"/>
      <c r="G170" s="621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 t="s">
        <v>2838</v>
      </c>
      <c r="S170" s="621"/>
      <c r="T170" s="633"/>
      <c r="U170" s="636"/>
    </row>
    <row r="171" spans="1:21" x14ac:dyDescent="0.3">
      <c r="A171" s="605"/>
      <c r="B171" s="970"/>
      <c r="C171" s="611"/>
      <c r="D171" s="611"/>
      <c r="E171" s="611"/>
      <c r="F171" s="621"/>
      <c r="G171" s="621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 t="s">
        <v>2839</v>
      </c>
      <c r="S171" s="621"/>
      <c r="T171" s="633"/>
      <c r="U171" s="636"/>
    </row>
    <row r="172" spans="1:21" x14ac:dyDescent="0.3">
      <c r="A172" s="605"/>
      <c r="B172" s="970"/>
      <c r="C172" s="611"/>
      <c r="D172" s="611"/>
      <c r="E172" s="611"/>
      <c r="F172" s="621"/>
      <c r="G172" s="621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 t="s">
        <v>2836</v>
      </c>
      <c r="S172" s="621"/>
      <c r="T172" s="633"/>
      <c r="U172" s="636"/>
    </row>
    <row r="173" spans="1:21" ht="15" thickBot="1" x14ac:dyDescent="0.35">
      <c r="A173" s="606"/>
      <c r="B173" s="964"/>
      <c r="C173" s="16">
        <v>0.88</v>
      </c>
      <c r="D173" s="16">
        <v>1.18</v>
      </c>
      <c r="E173" s="612"/>
      <c r="F173" s="631"/>
      <c r="G173" s="631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 t="s">
        <v>2840</v>
      </c>
      <c r="S173" s="631"/>
      <c r="T173" s="634"/>
      <c r="U173" s="637"/>
    </row>
    <row r="174" spans="1:21" x14ac:dyDescent="0.3">
      <c r="A174" s="304"/>
      <c r="B174" s="304"/>
      <c r="C174" s="408"/>
      <c r="D174" s="409"/>
      <c r="E174" s="409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410"/>
      <c r="T174" s="410"/>
    </row>
    <row r="175" spans="1:21" ht="24.6" x14ac:dyDescent="0.3">
      <c r="B175" s="61" t="s">
        <v>202</v>
      </c>
    </row>
    <row r="176" spans="1:21" ht="24.6" x14ac:dyDescent="0.3">
      <c r="B176" s="61" t="s">
        <v>203</v>
      </c>
    </row>
    <row r="177" spans="1:32" ht="24.6" x14ac:dyDescent="0.3">
      <c r="B177" s="61" t="s">
        <v>204</v>
      </c>
    </row>
    <row r="178" spans="1:32" ht="24.6" x14ac:dyDescent="0.3">
      <c r="B178" s="61" t="s">
        <v>205</v>
      </c>
    </row>
    <row r="179" spans="1:32" x14ac:dyDescent="0.3">
      <c r="B179" s="75"/>
    </row>
    <row r="180" spans="1:32" s="59" customFormat="1" ht="27.6" customHeight="1" x14ac:dyDescent="0.25">
      <c r="A180" s="509"/>
      <c r="B180" s="509"/>
      <c r="C180" s="512" t="s">
        <v>3985</v>
      </c>
      <c r="D180" s="543" t="s">
        <v>3986</v>
      </c>
      <c r="E180" s="543"/>
      <c r="F180" s="543"/>
      <c r="G180" s="509"/>
      <c r="H180" s="509"/>
      <c r="I180" s="509"/>
      <c r="J180" s="509"/>
      <c r="K180" s="509"/>
      <c r="L180" s="509"/>
      <c r="M180" s="509"/>
      <c r="N180" s="509"/>
      <c r="O180" s="509"/>
      <c r="P180" s="509"/>
      <c r="Q180" s="509"/>
      <c r="R180" s="509"/>
      <c r="S180" s="509"/>
      <c r="T180" s="509"/>
      <c r="U180" s="509"/>
      <c r="V180" s="509"/>
      <c r="W180" s="509"/>
      <c r="X180" s="509"/>
      <c r="Y180" s="509"/>
      <c r="Z180" s="509"/>
      <c r="AA180" s="509"/>
      <c r="AB180" s="509"/>
      <c r="AC180" s="509"/>
      <c r="AD180" s="509"/>
      <c r="AE180" s="510"/>
      <c r="AF180" s="510"/>
    </row>
    <row r="181" spans="1:32" s="59" customFormat="1" ht="13.8" x14ac:dyDescent="0.25">
      <c r="A181" s="509"/>
      <c r="B181" s="509"/>
      <c r="C181" s="509"/>
      <c r="D181" s="509"/>
      <c r="E181" s="509"/>
      <c r="F181" s="509"/>
      <c r="G181" s="509"/>
      <c r="H181" s="509"/>
      <c r="I181" s="509"/>
      <c r="J181" s="509"/>
      <c r="K181" s="509"/>
      <c r="L181" s="509"/>
      <c r="M181" s="509"/>
      <c r="N181" s="509"/>
      <c r="O181" s="509"/>
      <c r="P181" s="509"/>
      <c r="Q181" s="509"/>
      <c r="R181" s="509"/>
      <c r="S181" s="509"/>
      <c r="T181" s="509"/>
      <c r="U181" s="509"/>
      <c r="V181" s="509"/>
      <c r="W181" s="509"/>
      <c r="X181" s="509"/>
      <c r="Y181" s="509"/>
      <c r="Z181" s="509"/>
      <c r="AA181" s="509"/>
      <c r="AB181" s="509"/>
      <c r="AC181" s="509"/>
      <c r="AD181" s="509"/>
      <c r="AE181" s="510"/>
      <c r="AF181" s="510"/>
    </row>
    <row r="182" spans="1:32" s="59" customFormat="1" ht="13.8" x14ac:dyDescent="0.25">
      <c r="A182" s="509"/>
      <c r="B182" s="509"/>
      <c r="C182" s="509"/>
      <c r="D182" s="509"/>
      <c r="E182" s="509"/>
      <c r="F182" s="509"/>
      <c r="G182" s="509"/>
      <c r="H182" s="509"/>
      <c r="I182" s="509"/>
      <c r="J182" s="509"/>
      <c r="K182" s="509"/>
      <c r="L182" s="509"/>
      <c r="M182" s="509"/>
      <c r="N182" s="509"/>
      <c r="O182" s="509"/>
      <c r="P182" s="509"/>
      <c r="Q182" s="509"/>
      <c r="R182" s="509"/>
      <c r="S182" s="509"/>
      <c r="T182" s="509"/>
      <c r="U182" s="509"/>
      <c r="V182" s="509"/>
      <c r="W182" s="509"/>
      <c r="X182" s="509"/>
      <c r="Y182" s="509"/>
      <c r="Z182" s="509"/>
      <c r="AA182" s="509"/>
      <c r="AB182" s="509"/>
      <c r="AC182" s="509"/>
      <c r="AD182" s="509"/>
      <c r="AE182" s="417"/>
      <c r="AF182" s="510"/>
    </row>
    <row r="183" spans="1:32" s="59" customFormat="1" ht="13.8" x14ac:dyDescent="0.25">
      <c r="B183" s="60"/>
      <c r="C183" s="438" t="s">
        <v>3989</v>
      </c>
      <c r="D183" s="544" t="s">
        <v>3990</v>
      </c>
      <c r="E183" s="544"/>
      <c r="F183" s="544"/>
      <c r="G183" s="544"/>
      <c r="H183" s="544"/>
      <c r="I183" s="544"/>
      <c r="T183" s="60"/>
      <c r="U183" s="60"/>
    </row>
    <row r="184" spans="1:32" s="59" customFormat="1" ht="13.95" customHeight="1" x14ac:dyDescent="0.25">
      <c r="B184" s="60"/>
      <c r="C184" s="438" t="s">
        <v>3987</v>
      </c>
      <c r="D184" s="553" t="s">
        <v>3988</v>
      </c>
      <c r="E184" s="553"/>
      <c r="F184" s="553"/>
      <c r="G184" s="553"/>
      <c r="H184" s="553"/>
      <c r="I184" s="553"/>
      <c r="T184" s="60"/>
      <c r="U184" s="60"/>
    </row>
    <row r="185" spans="1:32" s="59" customFormat="1" ht="14.4" customHeight="1" x14ac:dyDescent="0.25">
      <c r="T185" s="60"/>
      <c r="U185" s="60"/>
    </row>
    <row r="186" spans="1:32" s="59" customFormat="1" ht="13.8" x14ac:dyDescent="0.25">
      <c r="A186" s="469"/>
      <c r="B186" s="743" t="s">
        <v>3984</v>
      </c>
      <c r="C186" s="743"/>
      <c r="D186" s="743"/>
      <c r="E186" s="743"/>
      <c r="F186" s="743"/>
      <c r="G186" s="743"/>
      <c r="H186" s="743"/>
      <c r="I186" s="743"/>
      <c r="T186" s="304"/>
      <c r="U186" s="304"/>
    </row>
  </sheetData>
  <mergeCells count="303">
    <mergeCell ref="D180:F180"/>
    <mergeCell ref="D183:I183"/>
    <mergeCell ref="D184:I184"/>
    <mergeCell ref="B186:I186"/>
    <mergeCell ref="G168:G173"/>
    <mergeCell ref="S168:S173"/>
    <mergeCell ref="T168:T173"/>
    <mergeCell ref="U168:U173"/>
    <mergeCell ref="A168:A173"/>
    <mergeCell ref="B168:B173"/>
    <mergeCell ref="C168:C172"/>
    <mergeCell ref="D168:D172"/>
    <mergeCell ref="E168:E173"/>
    <mergeCell ref="F168:F173"/>
    <mergeCell ref="G160:G161"/>
    <mergeCell ref="S160:S161"/>
    <mergeCell ref="T160:T161"/>
    <mergeCell ref="U160:U161"/>
    <mergeCell ref="A163:A165"/>
    <mergeCell ref="B163:B165"/>
    <mergeCell ref="E163:E165"/>
    <mergeCell ref="F163:F165"/>
    <mergeCell ref="G163:G165"/>
    <mergeCell ref="S163:S165"/>
    <mergeCell ref="A160:A161"/>
    <mergeCell ref="B160:B161"/>
    <mergeCell ref="C160:C161"/>
    <mergeCell ref="D160:D161"/>
    <mergeCell ref="E160:E161"/>
    <mergeCell ref="F160:F161"/>
    <mergeCell ref="T163:T165"/>
    <mergeCell ref="U163:U165"/>
    <mergeCell ref="C164:C165"/>
    <mergeCell ref="D164:D165"/>
    <mergeCell ref="T154:T157"/>
    <mergeCell ref="U154:U157"/>
    <mergeCell ref="A158:A159"/>
    <mergeCell ref="B158:B159"/>
    <mergeCell ref="E158:E159"/>
    <mergeCell ref="F158:F159"/>
    <mergeCell ref="G158:G159"/>
    <mergeCell ref="S158:S159"/>
    <mergeCell ref="T158:T159"/>
    <mergeCell ref="U158:U159"/>
    <mergeCell ref="A154:A157"/>
    <mergeCell ref="B154:B157"/>
    <mergeCell ref="E154:E157"/>
    <mergeCell ref="F154:F157"/>
    <mergeCell ref="G154:G157"/>
    <mergeCell ref="S154:S157"/>
    <mergeCell ref="T146:T150"/>
    <mergeCell ref="U146:U150"/>
    <mergeCell ref="A152:A153"/>
    <mergeCell ref="B152:B153"/>
    <mergeCell ref="E152:E153"/>
    <mergeCell ref="F152:F153"/>
    <mergeCell ref="G152:G153"/>
    <mergeCell ref="S152:S153"/>
    <mergeCell ref="T152:T153"/>
    <mergeCell ref="U152:U153"/>
    <mergeCell ref="A146:A150"/>
    <mergeCell ref="B146:B150"/>
    <mergeCell ref="E146:E150"/>
    <mergeCell ref="F146:F150"/>
    <mergeCell ref="G146:G150"/>
    <mergeCell ref="S146:S150"/>
    <mergeCell ref="U138:U141"/>
    <mergeCell ref="A142:A144"/>
    <mergeCell ref="B142:B144"/>
    <mergeCell ref="E142:E144"/>
    <mergeCell ref="F142:F144"/>
    <mergeCell ref="G142:G144"/>
    <mergeCell ref="S142:S144"/>
    <mergeCell ref="T142:T144"/>
    <mergeCell ref="U142:U144"/>
    <mergeCell ref="A138:A141"/>
    <mergeCell ref="B138:B141"/>
    <mergeCell ref="C138:C139"/>
    <mergeCell ref="D138:D139"/>
    <mergeCell ref="E138:E141"/>
    <mergeCell ref="F138:F141"/>
    <mergeCell ref="G138:G141"/>
    <mergeCell ref="S138:S141"/>
    <mergeCell ref="T138:T141"/>
    <mergeCell ref="T126:T134"/>
    <mergeCell ref="U126:U134"/>
    <mergeCell ref="C132:C133"/>
    <mergeCell ref="D132:D133"/>
    <mergeCell ref="A135:A137"/>
    <mergeCell ref="B135:B137"/>
    <mergeCell ref="E135:E137"/>
    <mergeCell ref="F135:F137"/>
    <mergeCell ref="G135:G137"/>
    <mergeCell ref="S135:S137"/>
    <mergeCell ref="A126:A134"/>
    <mergeCell ref="B126:B134"/>
    <mergeCell ref="E126:E134"/>
    <mergeCell ref="F126:F134"/>
    <mergeCell ref="G126:G134"/>
    <mergeCell ref="S126:S134"/>
    <mergeCell ref="T135:T137"/>
    <mergeCell ref="U135:U137"/>
    <mergeCell ref="T120:T125"/>
    <mergeCell ref="U120:U125"/>
    <mergeCell ref="C122:C123"/>
    <mergeCell ref="D122:D123"/>
    <mergeCell ref="C124:C125"/>
    <mergeCell ref="D124:D125"/>
    <mergeCell ref="A120:A125"/>
    <mergeCell ref="B120:B125"/>
    <mergeCell ref="E120:E125"/>
    <mergeCell ref="F120:F125"/>
    <mergeCell ref="G120:G125"/>
    <mergeCell ref="S120:S125"/>
    <mergeCell ref="A110:A113"/>
    <mergeCell ref="B110:B113"/>
    <mergeCell ref="E110:E113"/>
    <mergeCell ref="F110:F113"/>
    <mergeCell ref="G110:G113"/>
    <mergeCell ref="S110:S113"/>
    <mergeCell ref="T110:T113"/>
    <mergeCell ref="U110:U113"/>
    <mergeCell ref="G115:G118"/>
    <mergeCell ref="S115:S118"/>
    <mergeCell ref="T115:T118"/>
    <mergeCell ref="U115:U118"/>
    <mergeCell ref="C117:C118"/>
    <mergeCell ref="D117:D118"/>
    <mergeCell ref="A115:A118"/>
    <mergeCell ref="B115:B118"/>
    <mergeCell ref="C115:C116"/>
    <mergeCell ref="D115:D116"/>
    <mergeCell ref="E115:E118"/>
    <mergeCell ref="F115:F118"/>
    <mergeCell ref="G97:G104"/>
    <mergeCell ref="S97:S104"/>
    <mergeCell ref="T97:T104"/>
    <mergeCell ref="U97:U104"/>
    <mergeCell ref="A105:A109"/>
    <mergeCell ref="B105:B109"/>
    <mergeCell ref="E105:E109"/>
    <mergeCell ref="F105:F109"/>
    <mergeCell ref="G105:G109"/>
    <mergeCell ref="S105:S109"/>
    <mergeCell ref="A97:A104"/>
    <mergeCell ref="B97:B104"/>
    <mergeCell ref="C97:C98"/>
    <mergeCell ref="D97:D98"/>
    <mergeCell ref="E97:E104"/>
    <mergeCell ref="F97:F104"/>
    <mergeCell ref="T105:T109"/>
    <mergeCell ref="U105:U109"/>
    <mergeCell ref="T84:T90"/>
    <mergeCell ref="U84:U90"/>
    <mergeCell ref="A91:A96"/>
    <mergeCell ref="B91:B96"/>
    <mergeCell ref="E91:E96"/>
    <mergeCell ref="F91:F96"/>
    <mergeCell ref="G91:G96"/>
    <mergeCell ref="S91:S96"/>
    <mergeCell ref="T91:T96"/>
    <mergeCell ref="U91:U96"/>
    <mergeCell ref="A84:A90"/>
    <mergeCell ref="B84:B90"/>
    <mergeCell ref="E84:E90"/>
    <mergeCell ref="F84:F90"/>
    <mergeCell ref="G84:G90"/>
    <mergeCell ref="S84:S90"/>
    <mergeCell ref="T77:T80"/>
    <mergeCell ref="U77:U80"/>
    <mergeCell ref="A81:A83"/>
    <mergeCell ref="B81:B83"/>
    <mergeCell ref="E81:E83"/>
    <mergeCell ref="F81:F83"/>
    <mergeCell ref="G81:G83"/>
    <mergeCell ref="S81:S83"/>
    <mergeCell ref="T81:T83"/>
    <mergeCell ref="U81:U83"/>
    <mergeCell ref="A77:A80"/>
    <mergeCell ref="B77:B80"/>
    <mergeCell ref="E77:E80"/>
    <mergeCell ref="F77:F80"/>
    <mergeCell ref="G77:G80"/>
    <mergeCell ref="S77:S80"/>
    <mergeCell ref="T63:T65"/>
    <mergeCell ref="U63:U65"/>
    <mergeCell ref="A66:A76"/>
    <mergeCell ref="B66:B76"/>
    <mergeCell ref="E66:E76"/>
    <mergeCell ref="F66:F76"/>
    <mergeCell ref="G66:G76"/>
    <mergeCell ref="S66:S76"/>
    <mergeCell ref="T66:T76"/>
    <mergeCell ref="U66:U76"/>
    <mergeCell ref="A63:A65"/>
    <mergeCell ref="B63:B65"/>
    <mergeCell ref="E63:E65"/>
    <mergeCell ref="F63:F65"/>
    <mergeCell ref="G63:G65"/>
    <mergeCell ref="S63:S65"/>
    <mergeCell ref="T49:T53"/>
    <mergeCell ref="U49:U53"/>
    <mergeCell ref="A54:A62"/>
    <mergeCell ref="B54:B62"/>
    <mergeCell ref="E54:E62"/>
    <mergeCell ref="F54:F62"/>
    <mergeCell ref="G54:G62"/>
    <mergeCell ref="S54:S62"/>
    <mergeCell ref="T54:T62"/>
    <mergeCell ref="U54:U62"/>
    <mergeCell ref="A49:A53"/>
    <mergeCell ref="B49:B53"/>
    <mergeCell ref="E49:E53"/>
    <mergeCell ref="F49:F53"/>
    <mergeCell ref="G49:G53"/>
    <mergeCell ref="S49:S53"/>
    <mergeCell ref="A44:A46"/>
    <mergeCell ref="B44:B46"/>
    <mergeCell ref="E44:E46"/>
    <mergeCell ref="F44:F46"/>
    <mergeCell ref="G44:G46"/>
    <mergeCell ref="S44:S46"/>
    <mergeCell ref="A42:A43"/>
    <mergeCell ref="B42:B43"/>
    <mergeCell ref="E42:E43"/>
    <mergeCell ref="F42:F43"/>
    <mergeCell ref="G42:G43"/>
    <mergeCell ref="S42:S43"/>
    <mergeCell ref="T42:T43"/>
    <mergeCell ref="U42:U43"/>
    <mergeCell ref="T44:T46"/>
    <mergeCell ref="U44:U46"/>
    <mergeCell ref="C45:C46"/>
    <mergeCell ref="D45:D46"/>
    <mergeCell ref="S30:S39"/>
    <mergeCell ref="T30:T39"/>
    <mergeCell ref="U30:U39"/>
    <mergeCell ref="A40:A41"/>
    <mergeCell ref="B40:B41"/>
    <mergeCell ref="E40:E41"/>
    <mergeCell ref="S40:S41"/>
    <mergeCell ref="T40:T41"/>
    <mergeCell ref="U40:U41"/>
    <mergeCell ref="D24:D25"/>
    <mergeCell ref="C26:C28"/>
    <mergeCell ref="D26:D28"/>
    <mergeCell ref="A30:A39"/>
    <mergeCell ref="B30:B39"/>
    <mergeCell ref="E30:E39"/>
    <mergeCell ref="F30:F39"/>
    <mergeCell ref="G30:G39"/>
    <mergeCell ref="U21:U22"/>
    <mergeCell ref="A23:A28"/>
    <mergeCell ref="B23:B28"/>
    <mergeCell ref="E23:E28"/>
    <mergeCell ref="F23:F28"/>
    <mergeCell ref="G23:G28"/>
    <mergeCell ref="S23:S28"/>
    <mergeCell ref="T23:T28"/>
    <mergeCell ref="U23:U28"/>
    <mergeCell ref="C24:C25"/>
    <mergeCell ref="A21:A22"/>
    <mergeCell ref="B21:B22"/>
    <mergeCell ref="E21:E22"/>
    <mergeCell ref="R21:R22"/>
    <mergeCell ref="S21:S22"/>
    <mergeCell ref="T21:T22"/>
    <mergeCell ref="L4:L5"/>
    <mergeCell ref="M4:M5"/>
    <mergeCell ref="R7:R9"/>
    <mergeCell ref="S7:S19"/>
    <mergeCell ref="T7:T19"/>
    <mergeCell ref="U7:U19"/>
    <mergeCell ref="G8:G19"/>
    <mergeCell ref="N4:N5"/>
    <mergeCell ref="O4:O5"/>
    <mergeCell ref="P4:P5"/>
    <mergeCell ref="Q4:Q5"/>
    <mergeCell ref="R4:R5"/>
    <mergeCell ref="D8:D19"/>
    <mergeCell ref="C8:C19"/>
    <mergeCell ref="F7:F19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A7:A19"/>
    <mergeCell ref="B7:B19"/>
    <mergeCell ref="E7:E19"/>
    <mergeCell ref="P3:Q3"/>
    <mergeCell ref="C4:D4"/>
    <mergeCell ref="E4:E5"/>
    <mergeCell ref="F4:F5"/>
    <mergeCell ref="G4:G5"/>
    <mergeCell ref="H4:H5"/>
    <mergeCell ref="I4:J4"/>
    <mergeCell ref="K4:K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D8B47-4A89-4E76-837E-9B1A717A660D}">
  <dimension ref="A1:AF72"/>
  <sheetViews>
    <sheetView workbookViewId="0">
      <selection activeCell="W4" sqref="W4"/>
    </sheetView>
  </sheetViews>
  <sheetFormatPr defaultColWidth="8.88671875" defaultRowHeight="13.8" x14ac:dyDescent="0.3"/>
  <cols>
    <col min="1" max="1" width="15.5546875" style="304" bestFit="1" customWidth="1"/>
    <col min="2" max="2" width="30.33203125" style="304" customWidth="1"/>
    <col min="3" max="3" width="10.33203125" style="304" customWidth="1"/>
    <col min="4" max="5" width="8.88671875" style="304"/>
    <col min="6" max="6" width="9.5546875" style="304" bestFit="1" customWidth="1"/>
    <col min="7" max="7" width="8.88671875" style="304"/>
    <col min="8" max="8" width="10.77734375" style="304" customWidth="1"/>
    <col min="9" max="9" width="22.5546875" style="304" customWidth="1"/>
    <col min="10" max="10" width="10.77734375" style="304" customWidth="1"/>
    <col min="11" max="11" width="8.88671875" style="304"/>
    <col min="12" max="12" width="11" style="304" customWidth="1"/>
    <col min="13" max="13" width="12.109375" style="304" customWidth="1"/>
    <col min="14" max="14" width="12.44140625" style="304" customWidth="1"/>
    <col min="15" max="15" width="12.33203125" style="304" customWidth="1"/>
    <col min="16" max="16" width="8.88671875" style="304"/>
    <col min="17" max="17" width="7.33203125" style="304" customWidth="1"/>
    <col min="18" max="18" width="20.5546875" style="304" customWidth="1"/>
    <col min="19" max="19" width="19" style="304" customWidth="1"/>
    <col min="20" max="20" width="44.109375" style="304" customWidth="1"/>
    <col min="21" max="21" width="18.33203125" style="304" customWidth="1"/>
    <col min="22" max="16384" width="8.88671875" style="304"/>
  </cols>
  <sheetData>
    <row r="1" spans="1:21" ht="18" thickBot="1" x14ac:dyDescent="0.35">
      <c r="A1" s="589" t="s">
        <v>2841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587" t="s">
        <v>7</v>
      </c>
    </row>
    <row r="3" spans="1:21" ht="32.4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588"/>
    </row>
    <row r="4" spans="1:2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588"/>
    </row>
    <row r="5" spans="1:2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588"/>
    </row>
    <row r="6" spans="1:21" ht="14.4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5">
        <v>21</v>
      </c>
    </row>
    <row r="7" spans="1:21" ht="36.6" thickBot="1" x14ac:dyDescent="0.35">
      <c r="A7" s="81" t="s">
        <v>2842</v>
      </c>
      <c r="B7" s="45" t="s">
        <v>2231</v>
      </c>
      <c r="C7" s="68">
        <v>0</v>
      </c>
      <c r="D7" s="68">
        <v>1.6</v>
      </c>
      <c r="E7" s="68">
        <v>1.6</v>
      </c>
      <c r="F7" s="82">
        <v>9078</v>
      </c>
      <c r="G7" s="57" t="s">
        <v>1688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57">
        <v>70760080347</v>
      </c>
      <c r="S7" s="94" t="s">
        <v>2843</v>
      </c>
      <c r="T7" s="57" t="s">
        <v>2844</v>
      </c>
      <c r="U7" s="342"/>
    </row>
    <row r="8" spans="1:21" x14ac:dyDescent="0.3">
      <c r="A8" s="643" t="s">
        <v>2845</v>
      </c>
      <c r="B8" s="607" t="s">
        <v>36</v>
      </c>
      <c r="C8" s="43">
        <v>0</v>
      </c>
      <c r="D8" s="43">
        <v>0.94</v>
      </c>
      <c r="E8" s="645">
        <v>1.21</v>
      </c>
      <c r="F8" s="647">
        <v>4200</v>
      </c>
      <c r="G8" s="641" t="s">
        <v>1688</v>
      </c>
      <c r="H8" s="641"/>
      <c r="I8" s="641"/>
      <c r="J8" s="641"/>
      <c r="K8" s="641"/>
      <c r="L8" s="641"/>
      <c r="M8" s="641"/>
      <c r="N8" s="641"/>
      <c r="O8" s="641"/>
      <c r="P8" s="641"/>
      <c r="Q8" s="641"/>
      <c r="R8" s="641">
        <v>70760080428</v>
      </c>
      <c r="S8" s="640" t="s">
        <v>2843</v>
      </c>
      <c r="T8" s="641" t="s">
        <v>2844</v>
      </c>
      <c r="U8" s="744"/>
    </row>
    <row r="9" spans="1:21" ht="14.4" thickBot="1" x14ac:dyDescent="0.35">
      <c r="A9" s="644"/>
      <c r="B9" s="609"/>
      <c r="C9" s="46">
        <v>0.94</v>
      </c>
      <c r="D9" s="46">
        <v>1.21</v>
      </c>
      <c r="E9" s="646"/>
      <c r="F9" s="648"/>
      <c r="G9" s="634"/>
      <c r="H9" s="634"/>
      <c r="I9" s="634"/>
      <c r="J9" s="634"/>
      <c r="K9" s="634"/>
      <c r="L9" s="634"/>
      <c r="M9" s="634"/>
      <c r="N9" s="634"/>
      <c r="O9" s="634"/>
      <c r="P9" s="634"/>
      <c r="Q9" s="634"/>
      <c r="R9" s="634"/>
      <c r="S9" s="631"/>
      <c r="T9" s="634"/>
      <c r="U9" s="745"/>
    </row>
    <row r="10" spans="1:21" ht="36.6" thickBot="1" x14ac:dyDescent="0.35">
      <c r="A10" s="40" t="s">
        <v>2846</v>
      </c>
      <c r="B10" s="23" t="s">
        <v>87</v>
      </c>
      <c r="C10" s="41">
        <v>0</v>
      </c>
      <c r="D10" s="41">
        <v>0.37</v>
      </c>
      <c r="E10" s="41">
        <v>0.37</v>
      </c>
      <c r="F10" s="4">
        <v>1480</v>
      </c>
      <c r="G10" s="3" t="s">
        <v>1688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3">
        <v>70760080423</v>
      </c>
      <c r="S10" s="27" t="s">
        <v>2843</v>
      </c>
      <c r="T10" s="3" t="s">
        <v>2844</v>
      </c>
      <c r="U10" s="110"/>
    </row>
    <row r="11" spans="1:21" ht="36.6" thickBot="1" x14ac:dyDescent="0.35">
      <c r="A11" s="40" t="s">
        <v>2847</v>
      </c>
      <c r="B11" s="23" t="s">
        <v>2848</v>
      </c>
      <c r="C11" s="41">
        <v>0</v>
      </c>
      <c r="D11" s="41">
        <v>0.27</v>
      </c>
      <c r="E11" s="41">
        <v>0.27</v>
      </c>
      <c r="F11" s="4">
        <v>960</v>
      </c>
      <c r="G11" s="3" t="s">
        <v>1688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3">
        <v>70760080422</v>
      </c>
      <c r="S11" s="27" t="s">
        <v>2843</v>
      </c>
      <c r="T11" s="3" t="s">
        <v>2844</v>
      </c>
      <c r="U11" s="110"/>
    </row>
    <row r="12" spans="1:21" x14ac:dyDescent="0.3">
      <c r="A12" s="643" t="s">
        <v>2849</v>
      </c>
      <c r="B12" s="607" t="s">
        <v>2850</v>
      </c>
      <c r="C12" s="43">
        <v>0</v>
      </c>
      <c r="D12" s="43">
        <v>0.1</v>
      </c>
      <c r="E12" s="645">
        <v>0.46</v>
      </c>
      <c r="F12" s="647">
        <v>2070</v>
      </c>
      <c r="G12" s="641" t="s">
        <v>1688</v>
      </c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3">
        <v>70760080440</v>
      </c>
      <c r="S12" s="640" t="s">
        <v>2843</v>
      </c>
      <c r="T12" s="641" t="s">
        <v>2844</v>
      </c>
      <c r="U12" s="642" t="s">
        <v>67</v>
      </c>
    </row>
    <row r="13" spans="1:21" ht="24" x14ac:dyDescent="0.3">
      <c r="A13" s="742"/>
      <c r="B13" s="608"/>
      <c r="C13" s="48">
        <v>0.1</v>
      </c>
      <c r="D13" s="48">
        <v>0.27</v>
      </c>
      <c r="E13" s="654"/>
      <c r="F13" s="655"/>
      <c r="G13" s="6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411" t="s">
        <v>2851</v>
      </c>
      <c r="S13" s="621"/>
      <c r="T13" s="633"/>
      <c r="U13" s="636"/>
    </row>
    <row r="14" spans="1:21" ht="14.4" thickBot="1" x14ac:dyDescent="0.35">
      <c r="A14" s="644"/>
      <c r="B14" s="609"/>
      <c r="C14" s="46">
        <v>0.27</v>
      </c>
      <c r="D14" s="46">
        <v>0.46</v>
      </c>
      <c r="E14" s="646"/>
      <c r="F14" s="648"/>
      <c r="G14" s="634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20">
        <v>70760080432</v>
      </c>
      <c r="S14" s="631"/>
      <c r="T14" s="634"/>
      <c r="U14" s="637"/>
    </row>
    <row r="15" spans="1:21" x14ac:dyDescent="0.3">
      <c r="A15" s="643" t="s">
        <v>2852</v>
      </c>
      <c r="B15" s="607" t="s">
        <v>2853</v>
      </c>
      <c r="C15" s="43">
        <v>0</v>
      </c>
      <c r="D15" s="43">
        <v>2.38</v>
      </c>
      <c r="E15" s="645">
        <v>3.06</v>
      </c>
      <c r="F15" s="647">
        <v>12476</v>
      </c>
      <c r="G15" s="641" t="s">
        <v>1688</v>
      </c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3">
        <v>70760050108</v>
      </c>
      <c r="S15" s="640"/>
      <c r="T15" s="641" t="s">
        <v>2844</v>
      </c>
      <c r="U15" s="744"/>
    </row>
    <row r="16" spans="1:21" ht="14.4" thickBot="1" x14ac:dyDescent="0.35">
      <c r="A16" s="644"/>
      <c r="B16" s="609"/>
      <c r="C16" s="46">
        <v>2.38</v>
      </c>
      <c r="D16" s="46">
        <v>3.06</v>
      </c>
      <c r="E16" s="646"/>
      <c r="F16" s="648"/>
      <c r="G16" s="634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20">
        <v>70760020119</v>
      </c>
      <c r="S16" s="631"/>
      <c r="T16" s="634"/>
      <c r="U16" s="745"/>
    </row>
    <row r="17" spans="1:21" x14ac:dyDescent="0.3">
      <c r="A17" s="643" t="s">
        <v>2854</v>
      </c>
      <c r="B17" s="607" t="s">
        <v>2855</v>
      </c>
      <c r="C17" s="43">
        <v>0</v>
      </c>
      <c r="D17" s="43">
        <v>1</v>
      </c>
      <c r="E17" s="645">
        <v>4.32</v>
      </c>
      <c r="F17" s="647">
        <v>30310</v>
      </c>
      <c r="G17" s="641" t="s">
        <v>368</v>
      </c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647">
        <v>70760010055001</v>
      </c>
      <c r="S17" s="640"/>
      <c r="T17" s="641" t="s">
        <v>2844</v>
      </c>
      <c r="U17" s="744"/>
    </row>
    <row r="18" spans="1:21" ht="14.4" thickBot="1" x14ac:dyDescent="0.35">
      <c r="A18" s="644"/>
      <c r="B18" s="609"/>
      <c r="C18" s="46">
        <v>1</v>
      </c>
      <c r="D18" s="46">
        <v>4.32</v>
      </c>
      <c r="E18" s="646"/>
      <c r="F18" s="648"/>
      <c r="G18" s="634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648"/>
      <c r="S18" s="631"/>
      <c r="T18" s="634"/>
      <c r="U18" s="745"/>
    </row>
    <row r="19" spans="1:21" ht="36.6" thickBot="1" x14ac:dyDescent="0.35">
      <c r="A19" s="40" t="s">
        <v>2856</v>
      </c>
      <c r="B19" s="23" t="s">
        <v>2857</v>
      </c>
      <c r="C19" s="41">
        <v>0</v>
      </c>
      <c r="D19" s="41">
        <v>1.03</v>
      </c>
      <c r="E19" s="41">
        <v>1.03</v>
      </c>
      <c r="F19" s="4">
        <v>5150</v>
      </c>
      <c r="G19" s="3" t="s">
        <v>1688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412" t="s">
        <v>2858</v>
      </c>
      <c r="S19" s="27"/>
      <c r="T19" s="3" t="s">
        <v>2844</v>
      </c>
      <c r="U19" s="110"/>
    </row>
    <row r="20" spans="1:21" ht="36.6" thickBot="1" x14ac:dyDescent="0.35">
      <c r="A20" s="40" t="s">
        <v>2859</v>
      </c>
      <c r="B20" s="23" t="s">
        <v>2860</v>
      </c>
      <c r="C20" s="41">
        <v>0</v>
      </c>
      <c r="D20" s="41">
        <v>2.66</v>
      </c>
      <c r="E20" s="41">
        <v>2.66</v>
      </c>
      <c r="F20" s="4">
        <v>10800</v>
      </c>
      <c r="G20" s="3" t="s">
        <v>368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3">
        <v>70760090085</v>
      </c>
      <c r="S20" s="27"/>
      <c r="T20" s="3" t="s">
        <v>2844</v>
      </c>
      <c r="U20" s="110"/>
    </row>
    <row r="21" spans="1:21" ht="36" x14ac:dyDescent="0.3">
      <c r="A21" s="643" t="s">
        <v>2861</v>
      </c>
      <c r="B21" s="607" t="s">
        <v>2862</v>
      </c>
      <c r="C21" s="43">
        <v>0</v>
      </c>
      <c r="D21" s="43">
        <v>2.09</v>
      </c>
      <c r="E21" s="645">
        <v>4.4000000000000004</v>
      </c>
      <c r="F21" s="44">
        <v>9405</v>
      </c>
      <c r="G21" s="33" t="s">
        <v>1688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413" t="s">
        <v>2863</v>
      </c>
      <c r="S21" s="640"/>
      <c r="T21" s="641" t="s">
        <v>2844</v>
      </c>
      <c r="U21" s="744"/>
    </row>
    <row r="22" spans="1:21" ht="60" x14ac:dyDescent="0.3">
      <c r="A22" s="742"/>
      <c r="B22" s="608"/>
      <c r="C22" s="48">
        <v>2.09</v>
      </c>
      <c r="D22" s="48">
        <v>4.13</v>
      </c>
      <c r="E22" s="654"/>
      <c r="F22" s="655">
        <v>11550</v>
      </c>
      <c r="G22" s="633" t="s">
        <v>368</v>
      </c>
      <c r="H22" s="621"/>
      <c r="I22" s="621"/>
      <c r="J22" s="621"/>
      <c r="K22" s="621"/>
      <c r="L22" s="621"/>
      <c r="M22" s="621"/>
      <c r="N22" s="621"/>
      <c r="O22" s="621"/>
      <c r="P22" s="621"/>
      <c r="Q22" s="621"/>
      <c r="R22" s="411" t="s">
        <v>2864</v>
      </c>
      <c r="S22" s="621"/>
      <c r="T22" s="633"/>
      <c r="U22" s="750"/>
    </row>
    <row r="23" spans="1:21" ht="14.4" thickBot="1" x14ac:dyDescent="0.35">
      <c r="A23" s="644"/>
      <c r="B23" s="609"/>
      <c r="C23" s="46">
        <v>4.13</v>
      </c>
      <c r="D23" s="46">
        <v>4.4000000000000004</v>
      </c>
      <c r="E23" s="646"/>
      <c r="F23" s="648"/>
      <c r="G23" s="634"/>
      <c r="H23" s="631"/>
      <c r="I23" s="631"/>
      <c r="J23" s="631"/>
      <c r="K23" s="631"/>
      <c r="L23" s="631"/>
      <c r="M23" s="631"/>
      <c r="N23" s="631"/>
      <c r="O23" s="631"/>
      <c r="P23" s="631"/>
      <c r="Q23" s="631"/>
      <c r="R23" s="20">
        <v>70760020140</v>
      </c>
      <c r="S23" s="631"/>
      <c r="T23" s="634"/>
      <c r="U23" s="745"/>
    </row>
    <row r="24" spans="1:21" ht="36.6" thickBot="1" x14ac:dyDescent="0.35">
      <c r="A24" s="40" t="s">
        <v>2865</v>
      </c>
      <c r="B24" s="23" t="s">
        <v>2866</v>
      </c>
      <c r="C24" s="41">
        <v>0</v>
      </c>
      <c r="D24" s="41">
        <v>0.19</v>
      </c>
      <c r="E24" s="41">
        <v>0.19</v>
      </c>
      <c r="F24" s="4">
        <v>740</v>
      </c>
      <c r="G24" s="3" t="s">
        <v>1688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3">
        <v>70760080421</v>
      </c>
      <c r="S24" s="27" t="s">
        <v>2843</v>
      </c>
      <c r="T24" s="3" t="s">
        <v>2844</v>
      </c>
      <c r="U24" s="110"/>
    </row>
    <row r="25" spans="1:21" ht="36.6" thickBot="1" x14ac:dyDescent="0.35">
      <c r="A25" s="40" t="s">
        <v>2867</v>
      </c>
      <c r="B25" s="23" t="s">
        <v>2868</v>
      </c>
      <c r="C25" s="41">
        <v>0</v>
      </c>
      <c r="D25" s="41">
        <v>0.09</v>
      </c>
      <c r="E25" s="41">
        <v>0.09</v>
      </c>
      <c r="F25" s="4">
        <v>360</v>
      </c>
      <c r="G25" s="3" t="s">
        <v>1688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3">
        <v>70760080427</v>
      </c>
      <c r="S25" s="27" t="s">
        <v>2843</v>
      </c>
      <c r="T25" s="3" t="s">
        <v>2844</v>
      </c>
      <c r="U25" s="110"/>
    </row>
    <row r="26" spans="1:21" ht="36.6" thickBot="1" x14ac:dyDescent="0.35">
      <c r="A26" s="40" t="s">
        <v>2869</v>
      </c>
      <c r="B26" s="23" t="s">
        <v>2870</v>
      </c>
      <c r="C26" s="41">
        <v>0</v>
      </c>
      <c r="D26" s="41">
        <v>7.0000000000000007E-2</v>
      </c>
      <c r="E26" s="41">
        <v>7.0000000000000007E-2</v>
      </c>
      <c r="F26" s="4">
        <v>400</v>
      </c>
      <c r="G26" s="3" t="s">
        <v>1688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3">
        <v>70760080426</v>
      </c>
      <c r="S26" s="27" t="s">
        <v>2843</v>
      </c>
      <c r="T26" s="3" t="s">
        <v>2844</v>
      </c>
      <c r="U26" s="110"/>
    </row>
    <row r="27" spans="1:21" ht="36.6" thickBot="1" x14ac:dyDescent="0.35">
      <c r="A27" s="40" t="s">
        <v>2871</v>
      </c>
      <c r="B27" s="23" t="s">
        <v>2872</v>
      </c>
      <c r="C27" s="41">
        <v>0</v>
      </c>
      <c r="D27" s="41">
        <v>0.13</v>
      </c>
      <c r="E27" s="41">
        <v>0.13</v>
      </c>
      <c r="F27" s="4">
        <v>560</v>
      </c>
      <c r="G27" s="3" t="s">
        <v>1688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3">
        <v>70760080425</v>
      </c>
      <c r="S27" s="27" t="s">
        <v>2843</v>
      </c>
      <c r="T27" s="3" t="s">
        <v>2844</v>
      </c>
      <c r="U27" s="110"/>
    </row>
    <row r="28" spans="1:21" ht="36.6" thickBot="1" x14ac:dyDescent="0.35">
      <c r="A28" s="40" t="s">
        <v>2873</v>
      </c>
      <c r="B28" s="23" t="s">
        <v>2874</v>
      </c>
      <c r="C28" s="41">
        <v>0</v>
      </c>
      <c r="D28" s="41">
        <v>0.1</v>
      </c>
      <c r="E28" s="41">
        <v>0.1</v>
      </c>
      <c r="F28" s="4">
        <v>440</v>
      </c>
      <c r="G28" s="3" t="s">
        <v>1688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3">
        <v>70760080424</v>
      </c>
      <c r="S28" s="27" t="s">
        <v>2843</v>
      </c>
      <c r="T28" s="3" t="s">
        <v>2844</v>
      </c>
      <c r="U28" s="110"/>
    </row>
    <row r="29" spans="1:21" ht="90.6" customHeight="1" thickBot="1" x14ac:dyDescent="0.35">
      <c r="A29" s="40" t="s">
        <v>2875</v>
      </c>
      <c r="B29" s="23" t="s">
        <v>1992</v>
      </c>
      <c r="C29" s="41">
        <v>0</v>
      </c>
      <c r="D29" s="41">
        <v>0.37</v>
      </c>
      <c r="E29" s="41">
        <v>0.37</v>
      </c>
      <c r="F29" s="4">
        <v>1480</v>
      </c>
      <c r="G29" s="3" t="s">
        <v>1688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412" t="s">
        <v>2876</v>
      </c>
      <c r="S29" s="27" t="s">
        <v>2843</v>
      </c>
      <c r="T29" s="3" t="s">
        <v>2844</v>
      </c>
      <c r="U29" s="5" t="s">
        <v>67</v>
      </c>
    </row>
    <row r="30" spans="1:21" x14ac:dyDescent="0.3">
      <c r="A30" s="643" t="s">
        <v>2877</v>
      </c>
      <c r="B30" s="607" t="s">
        <v>2878</v>
      </c>
      <c r="C30" s="43">
        <v>0</v>
      </c>
      <c r="D30" s="43">
        <v>1.38</v>
      </c>
      <c r="E30" s="645">
        <v>4.8899999999999997</v>
      </c>
      <c r="F30" s="44">
        <v>11200</v>
      </c>
      <c r="G30" s="33" t="s">
        <v>1688</v>
      </c>
      <c r="H30" s="640"/>
      <c r="I30" s="640"/>
      <c r="J30" s="640"/>
      <c r="K30" s="640"/>
      <c r="L30" s="640"/>
      <c r="M30" s="640"/>
      <c r="N30" s="640"/>
      <c r="O30" s="640"/>
      <c r="P30" s="640"/>
      <c r="Q30" s="640"/>
      <c r="R30" s="33">
        <v>70760080348</v>
      </c>
      <c r="S30" s="640"/>
      <c r="T30" s="641" t="s">
        <v>2844</v>
      </c>
      <c r="U30" s="642" t="s">
        <v>67</v>
      </c>
    </row>
    <row r="31" spans="1:21" ht="14.4" customHeight="1" x14ac:dyDescent="0.3">
      <c r="A31" s="742"/>
      <c r="B31" s="608"/>
      <c r="C31" s="48">
        <v>1.38</v>
      </c>
      <c r="D31" s="48">
        <v>2.92</v>
      </c>
      <c r="E31" s="654"/>
      <c r="F31" s="655">
        <v>13000</v>
      </c>
      <c r="G31" s="633" t="s">
        <v>368</v>
      </c>
      <c r="H31" s="621"/>
      <c r="I31" s="621"/>
      <c r="J31" s="621"/>
      <c r="K31" s="621"/>
      <c r="L31" s="621"/>
      <c r="M31" s="621"/>
      <c r="N31" s="621"/>
      <c r="O31" s="621"/>
      <c r="P31" s="621"/>
      <c r="Q31" s="621"/>
      <c r="R31" s="14">
        <v>70760060124</v>
      </c>
      <c r="S31" s="621"/>
      <c r="T31" s="633"/>
      <c r="U31" s="636"/>
    </row>
    <row r="32" spans="1:21" ht="166.2" customHeight="1" thickBot="1" x14ac:dyDescent="0.35">
      <c r="A32" s="644"/>
      <c r="B32" s="609"/>
      <c r="C32" s="46">
        <v>2.92</v>
      </c>
      <c r="D32" s="46">
        <v>4.8899999999999997</v>
      </c>
      <c r="E32" s="646"/>
      <c r="F32" s="648"/>
      <c r="G32" s="634"/>
      <c r="H32" s="631"/>
      <c r="I32" s="631"/>
      <c r="J32" s="631"/>
      <c r="K32" s="631"/>
      <c r="L32" s="631"/>
      <c r="M32" s="631"/>
      <c r="N32" s="631"/>
      <c r="O32" s="631"/>
      <c r="P32" s="631"/>
      <c r="Q32" s="631"/>
      <c r="R32" s="414" t="s">
        <v>2879</v>
      </c>
      <c r="S32" s="631"/>
      <c r="T32" s="634"/>
      <c r="U32" s="637"/>
    </row>
    <row r="33" spans="1:23" x14ac:dyDescent="0.3">
      <c r="A33" s="643" t="s">
        <v>2880</v>
      </c>
      <c r="B33" s="607" t="s">
        <v>2881</v>
      </c>
      <c r="C33" s="43">
        <v>0</v>
      </c>
      <c r="D33" s="43">
        <v>3.19</v>
      </c>
      <c r="E33" s="645">
        <v>5.15</v>
      </c>
      <c r="F33" s="647">
        <v>20856</v>
      </c>
      <c r="G33" s="641" t="s">
        <v>1688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3">
        <v>70760040052</v>
      </c>
      <c r="S33" s="640"/>
      <c r="T33" s="641" t="s">
        <v>2844</v>
      </c>
      <c r="U33" s="744"/>
    </row>
    <row r="34" spans="1:23" ht="14.4" thickBot="1" x14ac:dyDescent="0.35">
      <c r="A34" s="644"/>
      <c r="B34" s="609"/>
      <c r="C34" s="46">
        <v>3.19</v>
      </c>
      <c r="D34" s="46">
        <v>5.15</v>
      </c>
      <c r="E34" s="646"/>
      <c r="F34" s="648"/>
      <c r="G34" s="634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20">
        <v>70760050114</v>
      </c>
      <c r="S34" s="631"/>
      <c r="T34" s="634"/>
      <c r="U34" s="745"/>
    </row>
    <row r="35" spans="1:23" ht="36.6" thickBot="1" x14ac:dyDescent="0.35">
      <c r="A35" s="40" t="s">
        <v>2882</v>
      </c>
      <c r="B35" s="23" t="s">
        <v>2883</v>
      </c>
      <c r="C35" s="41">
        <v>0</v>
      </c>
      <c r="D35" s="41">
        <v>1.54</v>
      </c>
      <c r="E35" s="41">
        <v>1.54</v>
      </c>
      <c r="F35" s="4">
        <v>8400</v>
      </c>
      <c r="G35" s="3" t="s">
        <v>1688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3" t="s">
        <v>2884</v>
      </c>
      <c r="S35" s="27"/>
      <c r="T35" s="3" t="s">
        <v>2844</v>
      </c>
      <c r="U35" s="5"/>
    </row>
    <row r="36" spans="1:23" ht="228.6" customHeight="1" thickBot="1" x14ac:dyDescent="0.35">
      <c r="A36" s="40" t="s">
        <v>2885</v>
      </c>
      <c r="B36" s="23" t="s">
        <v>2886</v>
      </c>
      <c r="C36" s="41">
        <v>0</v>
      </c>
      <c r="D36" s="41">
        <v>3.54</v>
      </c>
      <c r="E36" s="41">
        <v>3.54</v>
      </c>
      <c r="F36" s="4">
        <v>15200</v>
      </c>
      <c r="G36" s="3" t="s">
        <v>368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412" t="s">
        <v>2887</v>
      </c>
      <c r="S36" s="27"/>
      <c r="T36" s="3" t="s">
        <v>2844</v>
      </c>
      <c r="U36" s="5"/>
    </row>
    <row r="37" spans="1:23" ht="99" customHeight="1" thickBot="1" x14ac:dyDescent="0.35">
      <c r="A37" s="40" t="s">
        <v>2888</v>
      </c>
      <c r="B37" s="23" t="s">
        <v>2889</v>
      </c>
      <c r="C37" s="41">
        <v>0</v>
      </c>
      <c r="D37" s="41">
        <v>0.19</v>
      </c>
      <c r="E37" s="41">
        <v>0.19</v>
      </c>
      <c r="F37" s="4">
        <v>7060</v>
      </c>
      <c r="G37" s="3" t="s">
        <v>51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3" t="s">
        <v>2890</v>
      </c>
      <c r="S37" s="27" t="s">
        <v>2843</v>
      </c>
      <c r="T37" s="3" t="s">
        <v>2844</v>
      </c>
      <c r="U37" s="110"/>
    </row>
    <row r="38" spans="1:23" ht="192.6" customHeight="1" thickBot="1" x14ac:dyDescent="0.35">
      <c r="A38" s="40" t="s">
        <v>2891</v>
      </c>
      <c r="B38" s="305" t="s">
        <v>2892</v>
      </c>
      <c r="C38" s="41">
        <v>0</v>
      </c>
      <c r="D38" s="41">
        <v>0.69</v>
      </c>
      <c r="E38" s="24">
        <v>0.69</v>
      </c>
      <c r="F38" s="4">
        <v>3600</v>
      </c>
      <c r="G38" s="27" t="s">
        <v>368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412" t="s">
        <v>2893</v>
      </c>
      <c r="S38" s="27"/>
      <c r="T38" s="3" t="s">
        <v>2844</v>
      </c>
      <c r="U38" s="5"/>
    </row>
    <row r="39" spans="1:23" ht="76.95" customHeight="1" thickBot="1" x14ac:dyDescent="0.35">
      <c r="A39" s="40" t="s">
        <v>2894</v>
      </c>
      <c r="B39" s="23" t="s">
        <v>2895</v>
      </c>
      <c r="C39" s="41">
        <v>0</v>
      </c>
      <c r="D39" s="41">
        <v>0.91</v>
      </c>
      <c r="E39" s="41">
        <v>0.91</v>
      </c>
      <c r="F39" s="4">
        <v>3640</v>
      </c>
      <c r="G39" s="3" t="s">
        <v>1688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412" t="s">
        <v>2896</v>
      </c>
      <c r="S39" s="27"/>
      <c r="T39" s="3" t="s">
        <v>2844</v>
      </c>
      <c r="U39" s="110"/>
    </row>
    <row r="40" spans="1:23" ht="36.6" thickBot="1" x14ac:dyDescent="0.35">
      <c r="A40" s="40" t="s">
        <v>2897</v>
      </c>
      <c r="B40" s="23" t="s">
        <v>2898</v>
      </c>
      <c r="C40" s="41">
        <v>0</v>
      </c>
      <c r="D40" s="41">
        <v>2.38</v>
      </c>
      <c r="E40" s="41">
        <v>2.38</v>
      </c>
      <c r="F40" s="4">
        <v>9600</v>
      </c>
      <c r="G40" s="3" t="s">
        <v>368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3">
        <v>70760080350</v>
      </c>
      <c r="S40" s="27"/>
      <c r="T40" s="3" t="s">
        <v>2844</v>
      </c>
      <c r="U40" s="110"/>
    </row>
    <row r="41" spans="1:23" ht="48" x14ac:dyDescent="0.3">
      <c r="A41" s="643" t="s">
        <v>2899</v>
      </c>
      <c r="B41" s="607" t="s">
        <v>2900</v>
      </c>
      <c r="C41" s="43">
        <v>0</v>
      </c>
      <c r="D41" s="43">
        <v>0.61</v>
      </c>
      <c r="E41" s="645">
        <v>5.62</v>
      </c>
      <c r="F41" s="44">
        <v>2745</v>
      </c>
      <c r="G41" s="33" t="s">
        <v>1688</v>
      </c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413" t="s">
        <v>2901</v>
      </c>
      <c r="S41" s="640"/>
      <c r="T41" s="641" t="s">
        <v>2844</v>
      </c>
      <c r="U41" s="744"/>
    </row>
    <row r="42" spans="1:23" ht="72" x14ac:dyDescent="0.3">
      <c r="A42" s="742"/>
      <c r="B42" s="608"/>
      <c r="C42" s="48">
        <v>0.61</v>
      </c>
      <c r="D42" s="48">
        <v>4.3600000000000003</v>
      </c>
      <c r="E42" s="654"/>
      <c r="F42" s="49">
        <v>16875</v>
      </c>
      <c r="G42" s="14" t="s">
        <v>368</v>
      </c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411" t="s">
        <v>2902</v>
      </c>
      <c r="S42" s="621"/>
      <c r="T42" s="633"/>
      <c r="U42" s="750"/>
    </row>
    <row r="43" spans="1:23" ht="38.4" customHeight="1" thickBot="1" x14ac:dyDescent="0.35">
      <c r="A43" s="644"/>
      <c r="B43" s="609"/>
      <c r="C43" s="46">
        <v>4.3600000000000003</v>
      </c>
      <c r="D43" s="46">
        <v>5.62</v>
      </c>
      <c r="E43" s="646"/>
      <c r="F43" s="47">
        <v>5670</v>
      </c>
      <c r="G43" s="20" t="s">
        <v>1688</v>
      </c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414" t="s">
        <v>2903</v>
      </c>
      <c r="S43" s="631"/>
      <c r="T43" s="634"/>
      <c r="U43" s="745"/>
    </row>
    <row r="44" spans="1:23" ht="81.599999999999994" customHeight="1" thickBot="1" x14ac:dyDescent="0.35">
      <c r="A44" s="40" t="s">
        <v>2904</v>
      </c>
      <c r="B44" s="23" t="s">
        <v>2905</v>
      </c>
      <c r="C44" s="41">
        <v>0</v>
      </c>
      <c r="D44" s="41">
        <v>1.72</v>
      </c>
      <c r="E44" s="41">
        <v>1.72</v>
      </c>
      <c r="F44" s="4">
        <v>7400</v>
      </c>
      <c r="G44" s="3" t="s">
        <v>368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412" t="s">
        <v>2906</v>
      </c>
      <c r="S44" s="27"/>
      <c r="T44" s="3" t="s">
        <v>2844</v>
      </c>
      <c r="U44" s="5"/>
    </row>
    <row r="45" spans="1:23" ht="86.4" customHeight="1" thickBot="1" x14ac:dyDescent="0.35">
      <c r="A45" s="40" t="s">
        <v>2907</v>
      </c>
      <c r="B45" s="23" t="s">
        <v>2908</v>
      </c>
      <c r="C45" s="41">
        <v>0</v>
      </c>
      <c r="D45" s="41">
        <v>1.97</v>
      </c>
      <c r="E45" s="41">
        <v>1.97</v>
      </c>
      <c r="F45" s="4">
        <v>8000</v>
      </c>
      <c r="G45" s="3" t="s">
        <v>368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412" t="s">
        <v>2909</v>
      </c>
      <c r="S45" s="27"/>
      <c r="T45" s="3" t="s">
        <v>2844</v>
      </c>
      <c r="U45" s="110"/>
    </row>
    <row r="46" spans="1:23" x14ac:dyDescent="0.3">
      <c r="A46" s="715" t="s">
        <v>2910</v>
      </c>
      <c r="B46" s="651" t="s">
        <v>2911</v>
      </c>
      <c r="C46" s="694">
        <v>0</v>
      </c>
      <c r="D46" s="694">
        <v>6.23</v>
      </c>
      <c r="E46" s="694">
        <v>6.23</v>
      </c>
      <c r="F46" s="723">
        <v>27800</v>
      </c>
      <c r="G46" s="662" t="s">
        <v>368</v>
      </c>
      <c r="H46" s="727"/>
      <c r="I46" s="727"/>
      <c r="J46" s="727"/>
      <c r="K46" s="727"/>
      <c r="L46" s="727"/>
      <c r="M46" s="727"/>
      <c r="N46" s="727"/>
      <c r="O46" s="727"/>
      <c r="P46" s="727"/>
      <c r="Q46" s="727"/>
      <c r="R46" s="1121" t="s">
        <v>2912</v>
      </c>
      <c r="S46" s="727"/>
      <c r="T46" s="662" t="s">
        <v>2844</v>
      </c>
      <c r="U46" s="664" t="s">
        <v>67</v>
      </c>
      <c r="W46" s="416"/>
    </row>
    <row r="47" spans="1:23" ht="300" customHeight="1" thickBot="1" x14ac:dyDescent="0.35">
      <c r="A47" s="710"/>
      <c r="B47" s="652"/>
      <c r="C47" s="696"/>
      <c r="D47" s="696"/>
      <c r="E47" s="696"/>
      <c r="F47" s="713"/>
      <c r="G47" s="663"/>
      <c r="H47" s="729"/>
      <c r="I47" s="729"/>
      <c r="J47" s="729"/>
      <c r="K47" s="729"/>
      <c r="L47" s="729"/>
      <c r="M47" s="729"/>
      <c r="N47" s="729"/>
      <c r="O47" s="729"/>
      <c r="P47" s="729"/>
      <c r="Q47" s="729"/>
      <c r="R47" s="1122"/>
      <c r="S47" s="729"/>
      <c r="T47" s="663"/>
      <c r="U47" s="665"/>
    </row>
    <row r="48" spans="1:23" ht="151.19999999999999" customHeight="1" thickBot="1" x14ac:dyDescent="0.35">
      <c r="A48" s="40" t="s">
        <v>2913</v>
      </c>
      <c r="B48" s="23" t="s">
        <v>2914</v>
      </c>
      <c r="C48" s="41">
        <v>0</v>
      </c>
      <c r="D48" s="41">
        <v>2.99</v>
      </c>
      <c r="E48" s="41">
        <v>2.99</v>
      </c>
      <c r="F48" s="4">
        <v>12200</v>
      </c>
      <c r="G48" s="3" t="s">
        <v>368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412" t="s">
        <v>2915</v>
      </c>
      <c r="S48" s="27"/>
      <c r="T48" s="3" t="s">
        <v>2844</v>
      </c>
      <c r="U48" s="110"/>
    </row>
    <row r="49" spans="1:21" ht="78" customHeight="1" thickBot="1" x14ac:dyDescent="0.35">
      <c r="A49" s="40" t="s">
        <v>2916</v>
      </c>
      <c r="B49" s="23" t="s">
        <v>2917</v>
      </c>
      <c r="C49" s="41">
        <v>0</v>
      </c>
      <c r="D49" s="41">
        <v>0.65</v>
      </c>
      <c r="E49" s="41">
        <v>0.65</v>
      </c>
      <c r="F49" s="4">
        <v>2600</v>
      </c>
      <c r="G49" s="3" t="s">
        <v>368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412" t="s">
        <v>2918</v>
      </c>
      <c r="S49" s="27"/>
      <c r="T49" s="3" t="s">
        <v>2844</v>
      </c>
      <c r="U49" s="110"/>
    </row>
    <row r="50" spans="1:21" ht="39" customHeight="1" x14ac:dyDescent="0.3">
      <c r="A50" s="643" t="s">
        <v>2919</v>
      </c>
      <c r="B50" s="607" t="s">
        <v>2920</v>
      </c>
      <c r="C50" s="43">
        <v>0</v>
      </c>
      <c r="D50" s="43">
        <v>0.36</v>
      </c>
      <c r="E50" s="645">
        <v>0.79</v>
      </c>
      <c r="F50" s="647">
        <v>7600</v>
      </c>
      <c r="G50" s="641" t="s">
        <v>368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413" t="s">
        <v>2921</v>
      </c>
      <c r="S50" s="640"/>
      <c r="T50" s="641" t="s">
        <v>2844</v>
      </c>
      <c r="U50" s="642" t="s">
        <v>700</v>
      </c>
    </row>
    <row r="51" spans="1:21" ht="32.4" customHeight="1" thickBot="1" x14ac:dyDescent="0.35">
      <c r="A51" s="644"/>
      <c r="B51" s="609"/>
      <c r="C51" s="46">
        <v>0.36</v>
      </c>
      <c r="D51" s="46">
        <v>0.79</v>
      </c>
      <c r="E51" s="646"/>
      <c r="F51" s="648"/>
      <c r="G51" s="634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414" t="s">
        <v>2922</v>
      </c>
      <c r="S51" s="631"/>
      <c r="T51" s="634"/>
      <c r="U51" s="637"/>
    </row>
    <row r="52" spans="1:21" ht="36.6" thickBot="1" x14ac:dyDescent="0.35">
      <c r="A52" s="40" t="s">
        <v>2923</v>
      </c>
      <c r="B52" s="23" t="s">
        <v>2924</v>
      </c>
      <c r="C52" s="41">
        <v>0</v>
      </c>
      <c r="D52" s="41">
        <v>0.51</v>
      </c>
      <c r="E52" s="41">
        <v>0.51</v>
      </c>
      <c r="F52" s="4">
        <v>3200</v>
      </c>
      <c r="G52" s="3" t="s">
        <v>368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412" t="s">
        <v>2925</v>
      </c>
      <c r="S52" s="27"/>
      <c r="T52" s="3" t="s">
        <v>2844</v>
      </c>
      <c r="U52" s="5"/>
    </row>
    <row r="53" spans="1:21" ht="91.95" customHeight="1" thickBot="1" x14ac:dyDescent="0.35">
      <c r="A53" s="40" t="s">
        <v>2926</v>
      </c>
      <c r="B53" s="23" t="s">
        <v>2927</v>
      </c>
      <c r="C53" s="41">
        <v>0</v>
      </c>
      <c r="D53" s="41">
        <v>0.95</v>
      </c>
      <c r="E53" s="41">
        <v>0.95</v>
      </c>
      <c r="F53" s="4">
        <v>4360</v>
      </c>
      <c r="G53" s="3" t="s">
        <v>368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412" t="s">
        <v>2928</v>
      </c>
      <c r="S53" s="27"/>
      <c r="T53" s="3" t="s">
        <v>2844</v>
      </c>
      <c r="U53" s="5"/>
    </row>
    <row r="54" spans="1:21" ht="81.599999999999994" customHeight="1" thickBot="1" x14ac:dyDescent="0.35">
      <c r="A54" s="40" t="s">
        <v>2929</v>
      </c>
      <c r="B54" s="23" t="s">
        <v>2930</v>
      </c>
      <c r="C54" s="41">
        <v>0</v>
      </c>
      <c r="D54" s="41">
        <v>0.81</v>
      </c>
      <c r="E54" s="41">
        <v>0.81</v>
      </c>
      <c r="F54" s="4">
        <v>3800</v>
      </c>
      <c r="G54" s="3" t="s">
        <v>368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412" t="s">
        <v>2931</v>
      </c>
      <c r="S54" s="27"/>
      <c r="T54" s="3" t="s">
        <v>2844</v>
      </c>
      <c r="U54" s="5"/>
    </row>
    <row r="55" spans="1:21" ht="36.6" thickBot="1" x14ac:dyDescent="0.35">
      <c r="A55" s="40" t="s">
        <v>2932</v>
      </c>
      <c r="B55" s="23" t="s">
        <v>2933</v>
      </c>
      <c r="C55" s="41">
        <v>0</v>
      </c>
      <c r="D55" s="41">
        <v>0.51</v>
      </c>
      <c r="E55" s="41">
        <v>0.51</v>
      </c>
      <c r="F55" s="4">
        <v>2400</v>
      </c>
      <c r="G55" s="3" t="s">
        <v>368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412" t="s">
        <v>2934</v>
      </c>
      <c r="S55" s="27"/>
      <c r="T55" s="3" t="s">
        <v>2844</v>
      </c>
      <c r="U55" s="5"/>
    </row>
    <row r="56" spans="1:21" ht="103.95" customHeight="1" thickBot="1" x14ac:dyDescent="0.35">
      <c r="A56" s="40" t="s">
        <v>2935</v>
      </c>
      <c r="B56" s="23" t="s">
        <v>2936</v>
      </c>
      <c r="C56" s="41">
        <v>0</v>
      </c>
      <c r="D56" s="41">
        <v>1.0900000000000001</v>
      </c>
      <c r="E56" s="41">
        <v>1.0900000000000001</v>
      </c>
      <c r="F56" s="4">
        <v>4905</v>
      </c>
      <c r="G56" s="3" t="s">
        <v>368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412" t="s">
        <v>2937</v>
      </c>
      <c r="S56" s="27"/>
      <c r="T56" s="3" t="s">
        <v>2844</v>
      </c>
      <c r="U56" s="5"/>
    </row>
    <row r="57" spans="1:21" ht="51.6" customHeight="1" thickBot="1" x14ac:dyDescent="0.35">
      <c r="A57" s="40" t="s">
        <v>2938</v>
      </c>
      <c r="B57" s="23" t="s">
        <v>2939</v>
      </c>
      <c r="C57" s="41">
        <v>0</v>
      </c>
      <c r="D57" s="41">
        <v>0.77</v>
      </c>
      <c r="E57" s="41">
        <v>0.77</v>
      </c>
      <c r="F57" s="4">
        <v>3465</v>
      </c>
      <c r="G57" s="3" t="s">
        <v>368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412" t="s">
        <v>2940</v>
      </c>
      <c r="S57" s="27"/>
      <c r="T57" s="3" t="s">
        <v>2844</v>
      </c>
      <c r="U57" s="5"/>
    </row>
    <row r="58" spans="1:21" ht="36.6" thickBot="1" x14ac:dyDescent="0.35">
      <c r="A58" s="40" t="s">
        <v>2941</v>
      </c>
      <c r="B58" s="23" t="s">
        <v>2942</v>
      </c>
      <c r="C58" s="41">
        <v>0</v>
      </c>
      <c r="D58" s="41">
        <v>0.14000000000000001</v>
      </c>
      <c r="E58" s="41">
        <v>0.14000000000000001</v>
      </c>
      <c r="F58" s="4">
        <v>700</v>
      </c>
      <c r="G58" s="3" t="s">
        <v>368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412" t="s">
        <v>2943</v>
      </c>
      <c r="S58" s="27"/>
      <c r="T58" s="3" t="s">
        <v>2844</v>
      </c>
      <c r="U58" s="5"/>
    </row>
    <row r="59" spans="1:21" ht="36.6" thickBot="1" x14ac:dyDescent="0.35">
      <c r="A59" s="40" t="s">
        <v>2944</v>
      </c>
      <c r="B59" s="23" t="s">
        <v>2945</v>
      </c>
      <c r="C59" s="41">
        <v>0</v>
      </c>
      <c r="D59" s="41">
        <v>2.16</v>
      </c>
      <c r="E59" s="41">
        <v>2.16</v>
      </c>
      <c r="F59" s="4">
        <v>8800</v>
      </c>
      <c r="G59" s="3" t="s">
        <v>368</v>
      </c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3">
        <v>70760110039</v>
      </c>
      <c r="S59" s="27"/>
      <c r="T59" s="3" t="s">
        <v>2844</v>
      </c>
      <c r="U59" s="5"/>
    </row>
    <row r="61" spans="1:21" ht="24.6" x14ac:dyDescent="0.3">
      <c r="B61" s="61" t="s">
        <v>202</v>
      </c>
      <c r="C61"/>
      <c r="D61"/>
      <c r="E61"/>
      <c r="F61"/>
      <c r="G61"/>
      <c r="H61"/>
    </row>
    <row r="62" spans="1:21" ht="24.6" x14ac:dyDescent="0.3">
      <c r="B62" s="61" t="s">
        <v>203</v>
      </c>
      <c r="C62"/>
      <c r="D62"/>
      <c r="E62"/>
      <c r="F62"/>
      <c r="G62"/>
      <c r="H62"/>
    </row>
    <row r="63" spans="1:21" ht="24.6" x14ac:dyDescent="0.3">
      <c r="B63" s="61" t="s">
        <v>204</v>
      </c>
      <c r="C63"/>
      <c r="D63"/>
      <c r="E63"/>
      <c r="F63"/>
      <c r="G63"/>
      <c r="H63"/>
    </row>
    <row r="64" spans="1:21" ht="24" x14ac:dyDescent="0.25">
      <c r="B64" s="61" t="s">
        <v>205</v>
      </c>
    </row>
    <row r="66" spans="1:32" s="59" customFormat="1" ht="27.6" customHeight="1" x14ac:dyDescent="0.25">
      <c r="A66" s="509"/>
      <c r="B66" s="509"/>
      <c r="C66" s="512" t="s">
        <v>3985</v>
      </c>
      <c r="D66" s="543" t="s">
        <v>3986</v>
      </c>
      <c r="E66" s="543"/>
      <c r="F66" s="543"/>
      <c r="G66" s="509"/>
      <c r="H66" s="509"/>
      <c r="I66" s="509"/>
      <c r="J66" s="509"/>
      <c r="K66" s="509"/>
      <c r="L66" s="509"/>
      <c r="M66" s="509"/>
      <c r="N66" s="509"/>
      <c r="O66" s="509"/>
      <c r="P66" s="509"/>
      <c r="Q66" s="509"/>
      <c r="R66" s="509"/>
      <c r="S66" s="509"/>
      <c r="T66" s="509"/>
      <c r="U66" s="509"/>
      <c r="V66" s="509"/>
      <c r="W66" s="509"/>
      <c r="X66" s="509"/>
      <c r="Y66" s="509"/>
      <c r="Z66" s="509"/>
      <c r="AA66" s="509"/>
      <c r="AB66" s="509"/>
      <c r="AC66" s="509"/>
      <c r="AD66" s="509"/>
      <c r="AE66" s="510"/>
      <c r="AF66" s="510"/>
    </row>
    <row r="67" spans="1:32" s="59" customFormat="1" x14ac:dyDescent="0.25">
      <c r="A67" s="509"/>
      <c r="B67" s="509"/>
      <c r="C67" s="509"/>
      <c r="D67" s="509"/>
      <c r="E67" s="509"/>
      <c r="F67" s="509"/>
      <c r="G67" s="509"/>
      <c r="H67" s="509"/>
      <c r="I67" s="509"/>
      <c r="J67" s="509"/>
      <c r="K67" s="509"/>
      <c r="L67" s="509"/>
      <c r="M67" s="509"/>
      <c r="N67" s="509"/>
      <c r="O67" s="509"/>
      <c r="P67" s="509"/>
      <c r="Q67" s="509"/>
      <c r="R67" s="509"/>
      <c r="S67" s="509"/>
      <c r="T67" s="509"/>
      <c r="U67" s="509"/>
      <c r="V67" s="509"/>
      <c r="W67" s="509"/>
      <c r="X67" s="509"/>
      <c r="Y67" s="509"/>
      <c r="Z67" s="509"/>
      <c r="AA67" s="509"/>
      <c r="AB67" s="509"/>
      <c r="AC67" s="509"/>
      <c r="AD67" s="509"/>
      <c r="AE67" s="510"/>
      <c r="AF67" s="510"/>
    </row>
    <row r="68" spans="1:32" s="59" customFormat="1" x14ac:dyDescent="0.25">
      <c r="A68" s="509"/>
      <c r="B68" s="509"/>
      <c r="C68" s="509"/>
      <c r="D68" s="509"/>
      <c r="E68" s="509"/>
      <c r="F68" s="509"/>
      <c r="G68" s="509"/>
      <c r="H68" s="509"/>
      <c r="I68" s="509"/>
      <c r="J68" s="509"/>
      <c r="K68" s="509"/>
      <c r="L68" s="509"/>
      <c r="M68" s="509"/>
      <c r="N68" s="509"/>
      <c r="O68" s="509"/>
      <c r="P68" s="509"/>
      <c r="Q68" s="509"/>
      <c r="R68" s="509"/>
      <c r="S68" s="509"/>
      <c r="T68" s="509"/>
      <c r="U68" s="509"/>
      <c r="V68" s="509"/>
      <c r="W68" s="509"/>
      <c r="X68" s="509"/>
      <c r="Y68" s="509"/>
      <c r="Z68" s="509"/>
      <c r="AA68" s="509"/>
      <c r="AB68" s="509"/>
      <c r="AC68" s="509"/>
      <c r="AD68" s="509"/>
      <c r="AE68" s="417"/>
      <c r="AF68" s="510"/>
    </row>
    <row r="69" spans="1:32" s="59" customFormat="1" x14ac:dyDescent="0.25">
      <c r="B69" s="60"/>
      <c r="C69" s="438" t="s">
        <v>3989</v>
      </c>
      <c r="D69" s="544" t="s">
        <v>3990</v>
      </c>
      <c r="E69" s="544"/>
      <c r="F69" s="544"/>
      <c r="G69" s="544"/>
      <c r="H69" s="544"/>
      <c r="I69" s="544"/>
      <c r="T69" s="60"/>
      <c r="U69" s="60"/>
    </row>
    <row r="70" spans="1:32" s="59" customFormat="1" ht="13.95" customHeight="1" x14ac:dyDescent="0.25">
      <c r="B70" s="60"/>
      <c r="C70" s="438" t="s">
        <v>3987</v>
      </c>
      <c r="D70" s="553" t="s">
        <v>3988</v>
      </c>
      <c r="E70" s="553"/>
      <c r="F70" s="553"/>
      <c r="G70" s="553"/>
      <c r="H70" s="553"/>
      <c r="I70" s="553"/>
      <c r="T70" s="60"/>
      <c r="U70" s="60"/>
    </row>
    <row r="71" spans="1:32" s="59" customFormat="1" ht="14.4" customHeight="1" x14ac:dyDescent="0.25">
      <c r="T71" s="60"/>
      <c r="U71" s="60"/>
    </row>
    <row r="72" spans="1:32" s="59" customFormat="1" x14ac:dyDescent="0.25">
      <c r="A72" s="469"/>
      <c r="B72" s="743" t="s">
        <v>3984</v>
      </c>
      <c r="C72" s="743"/>
      <c r="D72" s="743"/>
      <c r="E72" s="743"/>
      <c r="F72" s="743"/>
      <c r="G72" s="743"/>
      <c r="H72" s="743"/>
      <c r="I72" s="743"/>
      <c r="T72" s="304"/>
      <c r="U72" s="304"/>
    </row>
  </sheetData>
  <mergeCells count="152">
    <mergeCell ref="D46:D47"/>
    <mergeCell ref="E46:E47"/>
    <mergeCell ref="F46:F47"/>
    <mergeCell ref="S46:S47"/>
    <mergeCell ref="T46:T47"/>
    <mergeCell ref="U46:U47"/>
    <mergeCell ref="A41:A43"/>
    <mergeCell ref="B41:B43"/>
    <mergeCell ref="E41:E43"/>
    <mergeCell ref="S41:S43"/>
    <mergeCell ref="T41:T43"/>
    <mergeCell ref="U41:U43"/>
    <mergeCell ref="D66:F66"/>
    <mergeCell ref="G46:G47"/>
    <mergeCell ref="H46:H47"/>
    <mergeCell ref="I46:I47"/>
    <mergeCell ref="J46:J47"/>
    <mergeCell ref="K46:K47"/>
    <mergeCell ref="L46:L47"/>
    <mergeCell ref="U50:U51"/>
    <mergeCell ref="A50:A51"/>
    <mergeCell ref="B50:B51"/>
    <mergeCell ref="E50:E51"/>
    <mergeCell ref="F50:F51"/>
    <mergeCell ref="G50:G51"/>
    <mergeCell ref="S50:S51"/>
    <mergeCell ref="T50:T51"/>
    <mergeCell ref="A46:A47"/>
    <mergeCell ref="B46:B47"/>
    <mergeCell ref="C46:C47"/>
    <mergeCell ref="M46:M47"/>
    <mergeCell ref="N46:N47"/>
    <mergeCell ref="O46:O47"/>
    <mergeCell ref="P46:P47"/>
    <mergeCell ref="Q46:Q47"/>
    <mergeCell ref="R46:R47"/>
    <mergeCell ref="S30:S32"/>
    <mergeCell ref="T30:T32"/>
    <mergeCell ref="U30:U32"/>
    <mergeCell ref="N30:N32"/>
    <mergeCell ref="O30:O32"/>
    <mergeCell ref="P30:P32"/>
    <mergeCell ref="Q30:Q32"/>
    <mergeCell ref="S33:S34"/>
    <mergeCell ref="T33:T34"/>
    <mergeCell ref="U33:U34"/>
    <mergeCell ref="F31:F32"/>
    <mergeCell ref="G31:G32"/>
    <mergeCell ref="A33:A34"/>
    <mergeCell ref="B33:B34"/>
    <mergeCell ref="E33:E34"/>
    <mergeCell ref="F33:F34"/>
    <mergeCell ref="G33:G34"/>
    <mergeCell ref="L30:L32"/>
    <mergeCell ref="M30:M32"/>
    <mergeCell ref="A30:A32"/>
    <mergeCell ref="B30:B32"/>
    <mergeCell ref="E30:E32"/>
    <mergeCell ref="H30:H32"/>
    <mergeCell ref="I30:I32"/>
    <mergeCell ref="J30:J32"/>
    <mergeCell ref="K30:K32"/>
    <mergeCell ref="I22:I23"/>
    <mergeCell ref="J22:J23"/>
    <mergeCell ref="K22:K23"/>
    <mergeCell ref="A21:A23"/>
    <mergeCell ref="B21:B23"/>
    <mergeCell ref="E21:E23"/>
    <mergeCell ref="S21:S23"/>
    <mergeCell ref="T21:T23"/>
    <mergeCell ref="U21:U23"/>
    <mergeCell ref="F22:F23"/>
    <mergeCell ref="G22:G23"/>
    <mergeCell ref="H22:H23"/>
    <mergeCell ref="O22:O23"/>
    <mergeCell ref="P22:P23"/>
    <mergeCell ref="Q22:Q23"/>
    <mergeCell ref="L22:L23"/>
    <mergeCell ref="M22:M23"/>
    <mergeCell ref="N22:N23"/>
    <mergeCell ref="T15:T16"/>
    <mergeCell ref="U15:U16"/>
    <mergeCell ref="A17:A18"/>
    <mergeCell ref="B17:B18"/>
    <mergeCell ref="E17:E18"/>
    <mergeCell ref="F17:F18"/>
    <mergeCell ref="G17:G18"/>
    <mergeCell ref="R17:R18"/>
    <mergeCell ref="S17:S18"/>
    <mergeCell ref="T17:T18"/>
    <mergeCell ref="A15:A16"/>
    <mergeCell ref="B15:B16"/>
    <mergeCell ref="E15:E16"/>
    <mergeCell ref="F15:F16"/>
    <mergeCell ref="G15:G16"/>
    <mergeCell ref="S15:S16"/>
    <mergeCell ref="U17:U18"/>
    <mergeCell ref="T8:T9"/>
    <mergeCell ref="U8:U9"/>
    <mergeCell ref="A12:A14"/>
    <mergeCell ref="B12:B14"/>
    <mergeCell ref="E12:E14"/>
    <mergeCell ref="F12:F14"/>
    <mergeCell ref="G12:G14"/>
    <mergeCell ref="S12:S14"/>
    <mergeCell ref="T12:T14"/>
    <mergeCell ref="U12:U14"/>
    <mergeCell ref="N8:N9"/>
    <mergeCell ref="O8:O9"/>
    <mergeCell ref="P8:P9"/>
    <mergeCell ref="Q8:Q9"/>
    <mergeCell ref="R8:R9"/>
    <mergeCell ref="S8:S9"/>
    <mergeCell ref="H8:H9"/>
    <mergeCell ref="I8:I9"/>
    <mergeCell ref="J8:J9"/>
    <mergeCell ref="K8:K9"/>
    <mergeCell ref="L8:L9"/>
    <mergeCell ref="M8:M9"/>
    <mergeCell ref="O4:O5"/>
    <mergeCell ref="P4:P5"/>
    <mergeCell ref="Q4:Q5"/>
    <mergeCell ref="R4:R5"/>
    <mergeCell ref="A8:A9"/>
    <mergeCell ref="B8:B9"/>
    <mergeCell ref="E8:E9"/>
    <mergeCell ref="F8:F9"/>
    <mergeCell ref="G8:G9"/>
    <mergeCell ref="D69:I69"/>
    <mergeCell ref="D70:I70"/>
    <mergeCell ref="B72:I72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4C4C5-EB77-46AA-89C6-04D3E27E65D2}">
  <dimension ref="A1:AF105"/>
  <sheetViews>
    <sheetView workbookViewId="0">
      <selection activeCell="V5" sqref="V5"/>
    </sheetView>
  </sheetViews>
  <sheetFormatPr defaultRowHeight="14.4" x14ac:dyDescent="0.3"/>
  <cols>
    <col min="1" max="1" width="14.33203125" bestFit="1" customWidth="1"/>
    <col min="2" max="2" width="34.88671875" bestFit="1" customWidth="1"/>
    <col min="3" max="3" width="11.109375" customWidth="1"/>
    <col min="6" max="6" width="10.44140625" customWidth="1"/>
    <col min="9" max="9" width="19.6640625" customWidth="1"/>
    <col min="10" max="10" width="11.33203125" customWidth="1"/>
    <col min="12" max="12" width="10.33203125" customWidth="1"/>
    <col min="13" max="13" width="13.6640625" customWidth="1"/>
    <col min="14" max="14" width="13.44140625" customWidth="1"/>
    <col min="15" max="15" width="12.44140625" customWidth="1"/>
    <col min="18" max="18" width="20.44140625" style="388" customWidth="1"/>
    <col min="20" max="20" width="52.88671875" style="388" customWidth="1"/>
    <col min="21" max="21" width="8.109375" bestFit="1" customWidth="1"/>
  </cols>
  <sheetData>
    <row r="1" spans="1:21" s="304" customFormat="1" ht="18" thickBot="1" x14ac:dyDescent="0.35">
      <c r="A1" s="589" t="s">
        <v>3991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s="304" customFormat="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587" t="s">
        <v>7</v>
      </c>
    </row>
    <row r="3" spans="1:21" s="304" customFormat="1" ht="32.4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588"/>
    </row>
    <row r="4" spans="1:21" s="304" customFormat="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588"/>
    </row>
    <row r="5" spans="1:21" s="304" customFormat="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588"/>
    </row>
    <row r="6" spans="1:21" s="304" customFormat="1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5">
        <v>21</v>
      </c>
    </row>
    <row r="7" spans="1:21" s="480" customFormat="1" ht="24" x14ac:dyDescent="0.3">
      <c r="A7" s="666" t="s">
        <v>3647</v>
      </c>
      <c r="B7" s="651" t="s">
        <v>3648</v>
      </c>
      <c r="C7" s="43">
        <v>0</v>
      </c>
      <c r="D7" s="43">
        <v>1.7</v>
      </c>
      <c r="E7" s="694">
        <v>7.11</v>
      </c>
      <c r="F7" s="34">
        <v>10200</v>
      </c>
      <c r="G7" s="33" t="s">
        <v>3492</v>
      </c>
      <c r="H7" s="402"/>
      <c r="I7" s="33"/>
      <c r="J7" s="34"/>
      <c r="K7" s="34"/>
      <c r="L7" s="34"/>
      <c r="M7" s="34"/>
      <c r="N7" s="34"/>
      <c r="O7" s="33"/>
      <c r="P7" s="34"/>
      <c r="Q7" s="34"/>
      <c r="R7" s="33">
        <v>70780040271</v>
      </c>
      <c r="S7" s="34"/>
      <c r="T7" s="664" t="s">
        <v>31</v>
      </c>
      <c r="U7" s="469"/>
    </row>
    <row r="8" spans="1:21" s="480" customFormat="1" ht="24" x14ac:dyDescent="0.3">
      <c r="A8" s="748"/>
      <c r="B8" s="711"/>
      <c r="C8" s="48">
        <v>1.7</v>
      </c>
      <c r="D8" s="48">
        <v>3</v>
      </c>
      <c r="E8" s="695"/>
      <c r="F8" s="13">
        <v>7800</v>
      </c>
      <c r="G8" s="14" t="s">
        <v>3492</v>
      </c>
      <c r="H8" s="493"/>
      <c r="I8" s="14"/>
      <c r="J8" s="13"/>
      <c r="K8" s="13"/>
      <c r="L8" s="13"/>
      <c r="M8" s="13"/>
      <c r="N8" s="13"/>
      <c r="O8" s="14"/>
      <c r="P8" s="13"/>
      <c r="Q8" s="13"/>
      <c r="R8" s="14">
        <v>70780030201</v>
      </c>
      <c r="S8" s="13"/>
      <c r="T8" s="724"/>
      <c r="U8" s="469"/>
    </row>
    <row r="9" spans="1:21" s="480" customFormat="1" ht="15.75" customHeight="1" thickBot="1" x14ac:dyDescent="0.35">
      <c r="A9" s="667"/>
      <c r="B9" s="652"/>
      <c r="C9" s="46">
        <v>3</v>
      </c>
      <c r="D9" s="46">
        <v>7.11</v>
      </c>
      <c r="E9" s="696"/>
      <c r="F9" s="19">
        <v>24600</v>
      </c>
      <c r="G9" s="20" t="s">
        <v>32</v>
      </c>
      <c r="H9" s="38"/>
      <c r="I9" s="20"/>
      <c r="J9" s="19"/>
      <c r="K9" s="19"/>
      <c r="L9" s="19"/>
      <c r="M9" s="19"/>
      <c r="N9" s="19"/>
      <c r="O9" s="20"/>
      <c r="P9" s="19"/>
      <c r="Q9" s="19"/>
      <c r="R9" s="20">
        <v>70780030201</v>
      </c>
      <c r="S9" s="19"/>
      <c r="T9" s="665"/>
      <c r="U9" s="469"/>
    </row>
    <row r="10" spans="1:21" s="480" customFormat="1" ht="24.6" thickBot="1" x14ac:dyDescent="0.35">
      <c r="A10" s="22" t="s">
        <v>3649</v>
      </c>
      <c r="B10" s="23" t="s">
        <v>3650</v>
      </c>
      <c r="C10" s="41">
        <v>0</v>
      </c>
      <c r="D10" s="41">
        <v>0.71399999999999997</v>
      </c>
      <c r="E10" s="41">
        <v>0.71399999999999997</v>
      </c>
      <c r="F10" s="27">
        <v>2856</v>
      </c>
      <c r="G10" s="3" t="s">
        <v>32</v>
      </c>
      <c r="H10" s="3"/>
      <c r="I10" s="3"/>
      <c r="J10" s="27"/>
      <c r="K10" s="27"/>
      <c r="L10" s="27"/>
      <c r="M10" s="27"/>
      <c r="N10" s="27"/>
      <c r="O10" s="3"/>
      <c r="P10" s="27"/>
      <c r="Q10" s="27"/>
      <c r="R10" s="3">
        <v>70780020015</v>
      </c>
      <c r="S10" s="27"/>
      <c r="T10" s="5" t="s">
        <v>31</v>
      </c>
      <c r="U10" s="469"/>
    </row>
    <row r="11" spans="1:21" s="480" customFormat="1" ht="24.6" thickBot="1" x14ac:dyDescent="0.35">
      <c r="A11" s="22" t="s">
        <v>3651</v>
      </c>
      <c r="B11" s="23" t="s">
        <v>3652</v>
      </c>
      <c r="C11" s="41">
        <v>0</v>
      </c>
      <c r="D11" s="41">
        <v>2.0670000000000002</v>
      </c>
      <c r="E11" s="41">
        <v>2.0670000000000002</v>
      </c>
      <c r="F11" s="27">
        <v>8267</v>
      </c>
      <c r="G11" s="3" t="s">
        <v>32</v>
      </c>
      <c r="H11" s="3"/>
      <c r="I11" s="3"/>
      <c r="J11" s="27"/>
      <c r="K11" s="27"/>
      <c r="L11" s="27"/>
      <c r="M11" s="27"/>
      <c r="N11" s="27"/>
      <c r="O11" s="3"/>
      <c r="P11" s="27"/>
      <c r="Q11" s="27"/>
      <c r="R11" s="3">
        <v>70780030203</v>
      </c>
      <c r="S11" s="27"/>
      <c r="T11" s="5" t="s">
        <v>31</v>
      </c>
      <c r="U11" s="469"/>
    </row>
    <row r="12" spans="1:21" s="480" customFormat="1" ht="24.6" thickBot="1" x14ac:dyDescent="0.35">
      <c r="A12" s="55" t="s">
        <v>3653</v>
      </c>
      <c r="B12" s="45" t="s">
        <v>3654</v>
      </c>
      <c r="C12" s="79">
        <v>0</v>
      </c>
      <c r="D12" s="68">
        <v>1.0429999999999999</v>
      </c>
      <c r="E12" s="68">
        <v>1.0429999999999999</v>
      </c>
      <c r="F12" s="94">
        <v>4173</v>
      </c>
      <c r="G12" s="57" t="s">
        <v>32</v>
      </c>
      <c r="H12" s="57"/>
      <c r="I12" s="57"/>
      <c r="J12" s="94"/>
      <c r="K12" s="94"/>
      <c r="L12" s="94"/>
      <c r="M12" s="94"/>
      <c r="N12" s="94"/>
      <c r="O12" s="57"/>
      <c r="P12" s="94"/>
      <c r="Q12" s="94"/>
      <c r="R12" s="57">
        <v>70780030204</v>
      </c>
      <c r="S12" s="94"/>
      <c r="T12" s="5" t="s">
        <v>31</v>
      </c>
      <c r="U12" s="469"/>
    </row>
    <row r="13" spans="1:21" s="480" customFormat="1" ht="13.8" x14ac:dyDescent="0.3">
      <c r="A13" s="666" t="s">
        <v>3655</v>
      </c>
      <c r="B13" s="651" t="s">
        <v>3656</v>
      </c>
      <c r="C13" s="43">
        <v>0</v>
      </c>
      <c r="D13" s="43">
        <v>1.363</v>
      </c>
      <c r="E13" s="694">
        <v>1.619</v>
      </c>
      <c r="F13" s="727">
        <v>6476</v>
      </c>
      <c r="G13" s="662" t="s">
        <v>3492</v>
      </c>
      <c r="H13" s="53"/>
      <c r="I13" s="33"/>
      <c r="J13" s="34"/>
      <c r="K13" s="34"/>
      <c r="L13" s="34"/>
      <c r="M13" s="34"/>
      <c r="N13" s="34"/>
      <c r="O13" s="33"/>
      <c r="P13" s="34"/>
      <c r="Q13" s="34"/>
      <c r="R13" s="44">
        <v>70780040277</v>
      </c>
      <c r="S13" s="34"/>
      <c r="T13" s="664" t="s">
        <v>31</v>
      </c>
      <c r="U13" s="469"/>
    </row>
    <row r="14" spans="1:21" s="480" customFormat="1" ht="15" customHeight="1" thickBot="1" x14ac:dyDescent="0.35">
      <c r="A14" s="667"/>
      <c r="B14" s="652"/>
      <c r="C14" s="68">
        <v>1.363</v>
      </c>
      <c r="D14" s="46">
        <v>1.619</v>
      </c>
      <c r="E14" s="696"/>
      <c r="F14" s="729"/>
      <c r="G14" s="663"/>
      <c r="H14" s="20"/>
      <c r="I14" s="20"/>
      <c r="J14" s="19"/>
      <c r="K14" s="19"/>
      <c r="L14" s="19"/>
      <c r="M14" s="19"/>
      <c r="N14" s="19"/>
      <c r="O14" s="20"/>
      <c r="P14" s="19"/>
      <c r="Q14" s="19"/>
      <c r="R14" s="20">
        <v>70780050071</v>
      </c>
      <c r="S14" s="19"/>
      <c r="T14" s="665"/>
      <c r="U14" s="469"/>
    </row>
    <row r="15" spans="1:21" s="480" customFormat="1" ht="13.8" x14ac:dyDescent="0.3">
      <c r="A15" s="604" t="s">
        <v>3657</v>
      </c>
      <c r="B15" s="607" t="s">
        <v>3658</v>
      </c>
      <c r="C15" s="79">
        <v>0</v>
      </c>
      <c r="D15" s="43">
        <v>0.45400000000000001</v>
      </c>
      <c r="E15" s="694">
        <v>1.4930000000000001</v>
      </c>
      <c r="F15" s="727">
        <v>5972</v>
      </c>
      <c r="G15" s="662" t="s">
        <v>3492</v>
      </c>
      <c r="H15" s="53"/>
      <c r="I15" s="33"/>
      <c r="J15" s="34"/>
      <c r="K15" s="34"/>
      <c r="L15" s="34"/>
      <c r="M15" s="34"/>
      <c r="N15" s="34"/>
      <c r="O15" s="33"/>
      <c r="P15" s="34"/>
      <c r="Q15" s="34"/>
      <c r="R15" s="33">
        <v>70780040279</v>
      </c>
      <c r="S15" s="34"/>
      <c r="T15" s="664" t="s">
        <v>31</v>
      </c>
      <c r="U15" s="469"/>
    </row>
    <row r="16" spans="1:21" s="480" customFormat="1" ht="15.75" customHeight="1" thickBot="1" x14ac:dyDescent="0.35">
      <c r="A16" s="606"/>
      <c r="B16" s="609"/>
      <c r="C16" s="68">
        <v>0.45400000000000001</v>
      </c>
      <c r="D16" s="46">
        <v>1.4930000000000001</v>
      </c>
      <c r="E16" s="696"/>
      <c r="F16" s="729"/>
      <c r="G16" s="663"/>
      <c r="H16" s="20"/>
      <c r="I16" s="20"/>
      <c r="J16" s="19"/>
      <c r="K16" s="19"/>
      <c r="L16" s="19"/>
      <c r="M16" s="19"/>
      <c r="N16" s="19"/>
      <c r="O16" s="20"/>
      <c r="P16" s="19"/>
      <c r="Q16" s="19"/>
      <c r="R16" s="20">
        <v>70780050072</v>
      </c>
      <c r="S16" s="19"/>
      <c r="T16" s="665"/>
      <c r="U16" s="469"/>
    </row>
    <row r="17" spans="1:21" s="480" customFormat="1" ht="13.95" customHeight="1" x14ac:dyDescent="0.3">
      <c r="A17" s="666" t="s">
        <v>3659</v>
      </c>
      <c r="B17" s="651" t="s">
        <v>3660</v>
      </c>
      <c r="C17" s="43">
        <v>0</v>
      </c>
      <c r="D17" s="43">
        <v>2.7730000000000001</v>
      </c>
      <c r="E17" s="694">
        <v>3.6379999999999999</v>
      </c>
      <c r="F17" s="727">
        <v>14550</v>
      </c>
      <c r="G17" s="662" t="s">
        <v>32</v>
      </c>
      <c r="H17" s="53"/>
      <c r="I17" s="33"/>
      <c r="J17" s="34"/>
      <c r="K17" s="34"/>
      <c r="L17" s="34"/>
      <c r="M17" s="34"/>
      <c r="N17" s="34"/>
      <c r="O17" s="33"/>
      <c r="P17" s="34"/>
      <c r="Q17" s="34"/>
      <c r="R17" s="33">
        <v>70780040278</v>
      </c>
      <c r="S17" s="34"/>
      <c r="T17" s="664" t="s">
        <v>31</v>
      </c>
      <c r="U17" s="469"/>
    </row>
    <row r="18" spans="1:21" s="480" customFormat="1" ht="15" customHeight="1" x14ac:dyDescent="0.3">
      <c r="A18" s="748"/>
      <c r="B18" s="711"/>
      <c r="C18" s="79">
        <v>2.7730000000000001</v>
      </c>
      <c r="D18" s="48">
        <v>3.59</v>
      </c>
      <c r="E18" s="695"/>
      <c r="F18" s="728"/>
      <c r="G18" s="714"/>
      <c r="H18" s="14"/>
      <c r="I18" s="14"/>
      <c r="J18" s="13"/>
      <c r="K18" s="13"/>
      <c r="L18" s="13"/>
      <c r="M18" s="13"/>
      <c r="N18" s="13"/>
      <c r="O18" s="14"/>
      <c r="P18" s="13"/>
      <c r="Q18" s="13"/>
      <c r="R18" s="14">
        <v>70780080200</v>
      </c>
      <c r="S18" s="13"/>
      <c r="T18" s="724"/>
      <c r="U18" s="469"/>
    </row>
    <row r="19" spans="1:21" s="480" customFormat="1" ht="15.75" customHeight="1" thickBot="1" x14ac:dyDescent="0.35">
      <c r="A19" s="667"/>
      <c r="B19" s="652"/>
      <c r="C19" s="46">
        <v>3.5910000000000002</v>
      </c>
      <c r="D19" s="46">
        <v>3.6379999999999999</v>
      </c>
      <c r="E19" s="696"/>
      <c r="F19" s="729"/>
      <c r="G19" s="663"/>
      <c r="H19" s="57"/>
      <c r="I19" s="20"/>
      <c r="J19" s="19"/>
      <c r="K19" s="19"/>
      <c r="L19" s="19"/>
      <c r="M19" s="19"/>
      <c r="N19" s="19"/>
      <c r="O19" s="20"/>
      <c r="P19" s="19"/>
      <c r="Q19" s="19"/>
      <c r="R19" s="20" t="s">
        <v>3661</v>
      </c>
      <c r="S19" s="19"/>
      <c r="T19" s="665"/>
      <c r="U19" s="469"/>
    </row>
    <row r="20" spans="1:21" s="480" customFormat="1" ht="13.8" x14ac:dyDescent="0.3">
      <c r="A20" s="604" t="s">
        <v>3662</v>
      </c>
      <c r="B20" s="607" t="s">
        <v>3663</v>
      </c>
      <c r="C20" s="43">
        <v>0</v>
      </c>
      <c r="D20" s="43">
        <v>1.0580000000000001</v>
      </c>
      <c r="E20" s="694">
        <v>3.371</v>
      </c>
      <c r="F20" s="727">
        <v>13485</v>
      </c>
      <c r="G20" s="662" t="s">
        <v>32</v>
      </c>
      <c r="H20" s="53"/>
      <c r="I20" s="33"/>
      <c r="J20" s="34"/>
      <c r="K20" s="34"/>
      <c r="L20" s="34"/>
      <c r="M20" s="34"/>
      <c r="N20" s="34"/>
      <c r="O20" s="33"/>
      <c r="P20" s="34"/>
      <c r="Q20" s="34"/>
      <c r="R20" s="33">
        <v>70780040280</v>
      </c>
      <c r="S20" s="34"/>
      <c r="T20" s="664" t="s">
        <v>31</v>
      </c>
      <c r="U20" s="469"/>
    </row>
    <row r="21" spans="1:21" s="480" customFormat="1" ht="15.75" customHeight="1" thickBot="1" x14ac:dyDescent="0.35">
      <c r="A21" s="606"/>
      <c r="B21" s="609"/>
      <c r="C21" s="68">
        <v>1.0580000000000001</v>
      </c>
      <c r="D21" s="46">
        <v>3.371</v>
      </c>
      <c r="E21" s="696"/>
      <c r="F21" s="729"/>
      <c r="G21" s="663"/>
      <c r="H21" s="20"/>
      <c r="I21" s="20"/>
      <c r="J21" s="19"/>
      <c r="K21" s="19"/>
      <c r="L21" s="19"/>
      <c r="M21" s="19"/>
      <c r="N21" s="19"/>
      <c r="O21" s="20"/>
      <c r="P21" s="19"/>
      <c r="Q21" s="19"/>
      <c r="R21" s="20">
        <v>70780080201</v>
      </c>
      <c r="S21" s="19"/>
      <c r="T21" s="665"/>
      <c r="U21" s="469"/>
    </row>
    <row r="22" spans="1:21" s="480" customFormat="1" ht="24.6" thickBot="1" x14ac:dyDescent="0.35">
      <c r="A22" s="22" t="s">
        <v>3664</v>
      </c>
      <c r="B22" s="23" t="s">
        <v>3665</v>
      </c>
      <c r="C22" s="41">
        <v>0</v>
      </c>
      <c r="D22" s="41">
        <v>1.173</v>
      </c>
      <c r="E22" s="41">
        <v>1.173</v>
      </c>
      <c r="F22" s="27">
        <v>4690</v>
      </c>
      <c r="G22" s="3" t="s">
        <v>32</v>
      </c>
      <c r="H22" s="3" t="s">
        <v>708</v>
      </c>
      <c r="I22" s="3">
        <v>1.18</v>
      </c>
      <c r="J22" s="3" t="s">
        <v>3666</v>
      </c>
      <c r="K22" s="27">
        <v>12.2</v>
      </c>
      <c r="L22" s="27">
        <v>85.4</v>
      </c>
      <c r="M22" s="27"/>
      <c r="N22" s="27"/>
      <c r="O22" s="3"/>
      <c r="P22" s="27"/>
      <c r="Q22" s="27"/>
      <c r="R22" s="3">
        <v>70780080204</v>
      </c>
      <c r="S22" s="27"/>
      <c r="T22" s="5" t="s">
        <v>31</v>
      </c>
      <c r="U22" s="469"/>
    </row>
    <row r="23" spans="1:21" s="480" customFormat="1" ht="15" customHeight="1" x14ac:dyDescent="0.3">
      <c r="A23" s="604" t="s">
        <v>3667</v>
      </c>
      <c r="B23" s="607" t="s">
        <v>3668</v>
      </c>
      <c r="C23" s="43">
        <v>0</v>
      </c>
      <c r="D23" s="43">
        <v>4.79</v>
      </c>
      <c r="E23" s="694">
        <v>5.1879999999999997</v>
      </c>
      <c r="F23" s="727">
        <v>20753</v>
      </c>
      <c r="G23" s="662" t="s">
        <v>32</v>
      </c>
      <c r="H23" s="53"/>
      <c r="I23" s="33"/>
      <c r="J23" s="34"/>
      <c r="K23" s="34"/>
      <c r="L23" s="34"/>
      <c r="M23" s="34"/>
      <c r="N23" s="34"/>
      <c r="O23" s="33"/>
      <c r="P23" s="34"/>
      <c r="Q23" s="34"/>
      <c r="R23" s="33">
        <v>70780050073</v>
      </c>
      <c r="S23" s="34"/>
      <c r="T23" s="664" t="s">
        <v>31</v>
      </c>
      <c r="U23" s="469"/>
    </row>
    <row r="24" spans="1:21" s="480" customFormat="1" ht="15.75" customHeight="1" thickBot="1" x14ac:dyDescent="0.35">
      <c r="A24" s="606"/>
      <c r="B24" s="609"/>
      <c r="C24" s="46">
        <v>4.79</v>
      </c>
      <c r="D24" s="46">
        <v>5.1879999999999997</v>
      </c>
      <c r="E24" s="696"/>
      <c r="F24" s="729"/>
      <c r="G24" s="663"/>
      <c r="H24" s="20"/>
      <c r="I24" s="20"/>
      <c r="J24" s="19"/>
      <c r="K24" s="19"/>
      <c r="L24" s="19"/>
      <c r="M24" s="19"/>
      <c r="N24" s="19"/>
      <c r="O24" s="20"/>
      <c r="P24" s="19"/>
      <c r="Q24" s="19"/>
      <c r="R24" s="20">
        <v>70780080202</v>
      </c>
      <c r="S24" s="19"/>
      <c r="T24" s="665"/>
      <c r="U24" s="469"/>
    </row>
    <row r="25" spans="1:21" s="480" customFormat="1" ht="24" x14ac:dyDescent="0.3">
      <c r="A25" s="604" t="s">
        <v>3669</v>
      </c>
      <c r="B25" s="607" t="s">
        <v>3670</v>
      </c>
      <c r="C25" s="43">
        <v>0</v>
      </c>
      <c r="D25" s="43">
        <v>2.3210000000000002</v>
      </c>
      <c r="E25" s="694">
        <v>2.911</v>
      </c>
      <c r="F25" s="34">
        <v>9286</v>
      </c>
      <c r="G25" s="33" t="s">
        <v>3492</v>
      </c>
      <c r="H25" s="53"/>
      <c r="I25" s="33"/>
      <c r="J25" s="34"/>
      <c r="K25" s="34"/>
      <c r="L25" s="34"/>
      <c r="M25" s="34"/>
      <c r="N25" s="34"/>
      <c r="O25" s="33"/>
      <c r="P25" s="34"/>
      <c r="Q25" s="34"/>
      <c r="R25" s="33">
        <v>70780090114</v>
      </c>
      <c r="S25" s="34"/>
      <c r="T25" s="664" t="s">
        <v>31</v>
      </c>
      <c r="U25" s="469"/>
    </row>
    <row r="26" spans="1:21" s="480" customFormat="1" ht="15.75" customHeight="1" thickBot="1" x14ac:dyDescent="0.35">
      <c r="A26" s="606"/>
      <c r="B26" s="609"/>
      <c r="C26" s="68">
        <v>2.3210000000000002</v>
      </c>
      <c r="D26" s="46">
        <v>2.911</v>
      </c>
      <c r="E26" s="696"/>
      <c r="F26" s="19">
        <v>2358</v>
      </c>
      <c r="G26" s="20" t="s">
        <v>32</v>
      </c>
      <c r="H26" s="20"/>
      <c r="I26" s="20"/>
      <c r="J26" s="19"/>
      <c r="K26" s="19"/>
      <c r="L26" s="19"/>
      <c r="M26" s="19"/>
      <c r="N26" s="19"/>
      <c r="O26" s="20"/>
      <c r="P26" s="19"/>
      <c r="Q26" s="19"/>
      <c r="R26" s="20">
        <v>70780090114</v>
      </c>
      <c r="S26" s="19"/>
      <c r="T26" s="665"/>
      <c r="U26" s="469"/>
    </row>
    <row r="27" spans="1:21" s="480" customFormat="1" ht="13.8" x14ac:dyDescent="0.3">
      <c r="A27" s="604" t="s">
        <v>3671</v>
      </c>
      <c r="B27" s="607" t="s">
        <v>3672</v>
      </c>
      <c r="C27" s="43">
        <v>0</v>
      </c>
      <c r="D27" s="43">
        <v>2.3069999999999999</v>
      </c>
      <c r="E27" s="694">
        <v>2.996</v>
      </c>
      <c r="F27" s="727">
        <v>11983</v>
      </c>
      <c r="G27" s="662" t="s">
        <v>32</v>
      </c>
      <c r="H27" s="53"/>
      <c r="I27" s="33"/>
      <c r="J27" s="34"/>
      <c r="K27" s="34"/>
      <c r="L27" s="34"/>
      <c r="M27" s="34"/>
      <c r="N27" s="34"/>
      <c r="O27" s="33"/>
      <c r="P27" s="34"/>
      <c r="Q27" s="34"/>
      <c r="R27" s="33">
        <v>70780080203</v>
      </c>
      <c r="S27" s="34"/>
      <c r="T27" s="664" t="s">
        <v>31</v>
      </c>
      <c r="U27" s="469"/>
    </row>
    <row r="28" spans="1:21" s="480" customFormat="1" ht="15.75" customHeight="1" thickBot="1" x14ac:dyDescent="0.35">
      <c r="A28" s="606"/>
      <c r="B28" s="609"/>
      <c r="C28" s="68">
        <v>2.3069999999999999</v>
      </c>
      <c r="D28" s="46">
        <v>2.996</v>
      </c>
      <c r="E28" s="696"/>
      <c r="F28" s="729"/>
      <c r="G28" s="663"/>
      <c r="H28" s="20"/>
      <c r="I28" s="20"/>
      <c r="J28" s="19"/>
      <c r="K28" s="19"/>
      <c r="L28" s="19"/>
      <c r="M28" s="19"/>
      <c r="N28" s="19"/>
      <c r="O28" s="20"/>
      <c r="P28" s="19"/>
      <c r="Q28" s="19"/>
      <c r="R28" s="20">
        <v>70780090113</v>
      </c>
      <c r="S28" s="19"/>
      <c r="T28" s="665"/>
      <c r="U28" s="469"/>
    </row>
    <row r="29" spans="1:21" s="480" customFormat="1" ht="13.8" x14ac:dyDescent="0.3">
      <c r="A29" s="604" t="s">
        <v>3673</v>
      </c>
      <c r="B29" s="607" t="s">
        <v>3674</v>
      </c>
      <c r="C29" s="43">
        <v>0</v>
      </c>
      <c r="D29" s="43">
        <v>1.141</v>
      </c>
      <c r="E29" s="694">
        <v>6.2119999999999997</v>
      </c>
      <c r="F29" s="727">
        <v>24848</v>
      </c>
      <c r="G29" s="33" t="s">
        <v>32</v>
      </c>
      <c r="H29" s="53"/>
      <c r="I29" s="33"/>
      <c r="J29" s="34"/>
      <c r="K29" s="34"/>
      <c r="L29" s="34"/>
      <c r="M29" s="34"/>
      <c r="N29" s="34"/>
      <c r="O29" s="33"/>
      <c r="P29" s="34"/>
      <c r="Q29" s="44"/>
      <c r="R29" s="44">
        <v>70780040282</v>
      </c>
      <c r="S29" s="34"/>
      <c r="T29" s="664" t="s">
        <v>31</v>
      </c>
      <c r="U29" s="469"/>
    </row>
    <row r="30" spans="1:21" s="480" customFormat="1" ht="15" customHeight="1" x14ac:dyDescent="0.3">
      <c r="A30" s="605"/>
      <c r="B30" s="608"/>
      <c r="C30" s="48">
        <v>1.141</v>
      </c>
      <c r="D30" s="48">
        <v>2.282</v>
      </c>
      <c r="E30" s="695"/>
      <c r="F30" s="728"/>
      <c r="G30" s="14" t="s">
        <v>32</v>
      </c>
      <c r="H30" s="14"/>
      <c r="I30" s="14"/>
      <c r="J30" s="13"/>
      <c r="K30" s="13"/>
      <c r="L30" s="13"/>
      <c r="M30" s="13"/>
      <c r="N30" s="13"/>
      <c r="O30" s="14"/>
      <c r="P30" s="13"/>
      <c r="Q30" s="13"/>
      <c r="R30" s="14">
        <v>70780050075</v>
      </c>
      <c r="S30" s="13"/>
      <c r="T30" s="724"/>
      <c r="U30" s="469"/>
    </row>
    <row r="31" spans="1:21" s="480" customFormat="1" ht="24" x14ac:dyDescent="0.3">
      <c r="A31" s="605"/>
      <c r="B31" s="608"/>
      <c r="C31" s="48">
        <v>2.282</v>
      </c>
      <c r="D31" s="48">
        <v>3.1749999999999998</v>
      </c>
      <c r="E31" s="695"/>
      <c r="F31" s="728"/>
      <c r="G31" s="14" t="s">
        <v>3492</v>
      </c>
      <c r="H31" s="14"/>
      <c r="I31" s="14"/>
      <c r="J31" s="13"/>
      <c r="K31" s="13"/>
      <c r="L31" s="13"/>
      <c r="M31" s="13"/>
      <c r="N31" s="13"/>
      <c r="O31" s="14"/>
      <c r="P31" s="13"/>
      <c r="Q31" s="13"/>
      <c r="R31" s="14">
        <v>70780050075</v>
      </c>
      <c r="S31" s="13"/>
      <c r="T31" s="724"/>
      <c r="U31" s="469"/>
    </row>
    <row r="32" spans="1:21" s="480" customFormat="1" ht="15" customHeight="1" x14ac:dyDescent="0.3">
      <c r="A32" s="605"/>
      <c r="B32" s="608"/>
      <c r="C32" s="48">
        <v>3.1749999999999998</v>
      </c>
      <c r="D32" s="48">
        <v>4.5519999999999996</v>
      </c>
      <c r="E32" s="695"/>
      <c r="F32" s="728"/>
      <c r="G32" s="14" t="s">
        <v>32</v>
      </c>
      <c r="H32" s="80"/>
      <c r="I32" s="14"/>
      <c r="J32" s="13"/>
      <c r="K32" s="13"/>
      <c r="L32" s="13"/>
      <c r="M32" s="13"/>
      <c r="N32" s="13"/>
      <c r="O32" s="14"/>
      <c r="P32" s="13"/>
      <c r="Q32" s="13"/>
      <c r="R32" s="14">
        <v>70780050075</v>
      </c>
      <c r="S32" s="13"/>
      <c r="T32" s="724"/>
      <c r="U32" s="469"/>
    </row>
    <row r="33" spans="1:21" s="480" customFormat="1" ht="15" customHeight="1" x14ac:dyDescent="0.3">
      <c r="A33" s="605"/>
      <c r="B33" s="608"/>
      <c r="C33" s="48">
        <v>4.5519999999999996</v>
      </c>
      <c r="D33" s="48">
        <v>5.5650000000000004</v>
      </c>
      <c r="E33" s="695"/>
      <c r="F33" s="728"/>
      <c r="G33" s="14" t="s">
        <v>32</v>
      </c>
      <c r="H33" s="93"/>
      <c r="I33" s="14"/>
      <c r="J33" s="13"/>
      <c r="K33" s="13"/>
      <c r="L33" s="13"/>
      <c r="M33" s="13"/>
      <c r="N33" s="13"/>
      <c r="O33" s="14"/>
      <c r="P33" s="13"/>
      <c r="Q33" s="13"/>
      <c r="R33" s="14">
        <v>70780080207</v>
      </c>
      <c r="S33" s="13"/>
      <c r="T33" s="724"/>
      <c r="U33" s="469"/>
    </row>
    <row r="34" spans="1:21" s="480" customFormat="1" ht="24.6" thickBot="1" x14ac:dyDescent="0.35">
      <c r="A34" s="606"/>
      <c r="B34" s="609"/>
      <c r="C34" s="46">
        <v>5.5650000000000004</v>
      </c>
      <c r="D34" s="46">
        <v>6.2119999999999997</v>
      </c>
      <c r="E34" s="696"/>
      <c r="F34" s="729"/>
      <c r="G34" s="20" t="s">
        <v>3492</v>
      </c>
      <c r="H34" s="20"/>
      <c r="I34" s="20"/>
      <c r="J34" s="19"/>
      <c r="K34" s="19"/>
      <c r="L34" s="19"/>
      <c r="M34" s="19"/>
      <c r="N34" s="19"/>
      <c r="O34" s="20"/>
      <c r="P34" s="19"/>
      <c r="Q34" s="19"/>
      <c r="R34" s="20">
        <v>70780080207</v>
      </c>
      <c r="S34" s="19"/>
      <c r="T34" s="665"/>
      <c r="U34" s="469"/>
    </row>
    <row r="35" spans="1:21" s="480" customFormat="1" ht="15" customHeight="1" x14ac:dyDescent="0.3">
      <c r="A35" s="666" t="s">
        <v>3675</v>
      </c>
      <c r="B35" s="651" t="s">
        <v>3676</v>
      </c>
      <c r="C35" s="43">
        <v>0</v>
      </c>
      <c r="D35" s="43">
        <v>1.9610000000000001</v>
      </c>
      <c r="E35" s="694">
        <v>2.371</v>
      </c>
      <c r="F35" s="727">
        <v>9484</v>
      </c>
      <c r="G35" s="662" t="s">
        <v>32</v>
      </c>
      <c r="H35" s="53"/>
      <c r="I35" s="33"/>
      <c r="J35" s="34"/>
      <c r="K35" s="34"/>
      <c r="L35" s="34"/>
      <c r="M35" s="34"/>
      <c r="N35" s="34"/>
      <c r="O35" s="33"/>
      <c r="P35" s="34"/>
      <c r="Q35" s="34"/>
      <c r="R35" s="33">
        <v>70780030202</v>
      </c>
      <c r="S35" s="34"/>
      <c r="T35" s="664" t="s">
        <v>31</v>
      </c>
      <c r="U35" s="469"/>
    </row>
    <row r="36" spans="1:21" s="480" customFormat="1" ht="13.8" x14ac:dyDescent="0.3">
      <c r="A36" s="748"/>
      <c r="B36" s="711"/>
      <c r="C36" s="79">
        <v>1.9610000000000001</v>
      </c>
      <c r="D36" s="48">
        <v>2.2120000000000002</v>
      </c>
      <c r="E36" s="695"/>
      <c r="F36" s="728"/>
      <c r="G36" s="714"/>
      <c r="H36" s="93"/>
      <c r="I36" s="14"/>
      <c r="J36" s="13"/>
      <c r="K36" s="13"/>
      <c r="L36" s="13"/>
      <c r="M36" s="13"/>
      <c r="N36" s="13"/>
      <c r="O36" s="14"/>
      <c r="P36" s="13"/>
      <c r="Q36" s="13"/>
      <c r="R36" s="14" t="s">
        <v>3677</v>
      </c>
      <c r="S36" s="13"/>
      <c r="T36" s="724"/>
      <c r="U36" s="469"/>
    </row>
    <row r="37" spans="1:21" s="480" customFormat="1" thickBot="1" x14ac:dyDescent="0.35">
      <c r="A37" s="667"/>
      <c r="B37" s="652"/>
      <c r="C37" s="46">
        <v>2.2120000000000002</v>
      </c>
      <c r="D37" s="46">
        <v>2.371</v>
      </c>
      <c r="E37" s="696"/>
      <c r="F37" s="729"/>
      <c r="G37" s="663"/>
      <c r="H37" s="20"/>
      <c r="I37" s="20"/>
      <c r="J37" s="19"/>
      <c r="K37" s="19"/>
      <c r="L37" s="19"/>
      <c r="M37" s="19"/>
      <c r="N37" s="19"/>
      <c r="O37" s="20"/>
      <c r="P37" s="19"/>
      <c r="Q37" s="19"/>
      <c r="R37" s="20">
        <v>70780030296</v>
      </c>
      <c r="S37" s="19"/>
      <c r="T37" s="665"/>
      <c r="U37" s="469"/>
    </row>
    <row r="38" spans="1:21" s="480" customFormat="1" ht="24.6" thickBot="1" x14ac:dyDescent="0.35">
      <c r="A38" s="22" t="s">
        <v>3678</v>
      </c>
      <c r="B38" s="23" t="s">
        <v>3679</v>
      </c>
      <c r="C38" s="41">
        <v>0</v>
      </c>
      <c r="D38" s="41">
        <v>1.7949999999999999</v>
      </c>
      <c r="E38" s="41">
        <v>1.7949999999999999</v>
      </c>
      <c r="F38" s="27">
        <v>7179</v>
      </c>
      <c r="G38" s="3" t="s">
        <v>32</v>
      </c>
      <c r="H38" s="3"/>
      <c r="I38" s="3"/>
      <c r="J38" s="27"/>
      <c r="K38" s="27"/>
      <c r="L38" s="27"/>
      <c r="M38" s="27"/>
      <c r="N38" s="27"/>
      <c r="O38" s="3"/>
      <c r="P38" s="27"/>
      <c r="Q38" s="27"/>
      <c r="R38" s="3">
        <v>70780030206</v>
      </c>
      <c r="S38" s="27"/>
      <c r="T38" s="5" t="s">
        <v>31</v>
      </c>
      <c r="U38" s="469"/>
    </row>
    <row r="39" spans="1:21" s="480" customFormat="1" ht="25.5" customHeight="1" thickBot="1" x14ac:dyDescent="0.35">
      <c r="A39" s="22" t="s">
        <v>3680</v>
      </c>
      <c r="B39" s="23" t="s">
        <v>3681</v>
      </c>
      <c r="C39" s="41">
        <v>0</v>
      </c>
      <c r="D39" s="41">
        <v>0.38</v>
      </c>
      <c r="E39" s="41">
        <v>0.38</v>
      </c>
      <c r="F39" s="27">
        <v>1520</v>
      </c>
      <c r="G39" s="3" t="s">
        <v>32</v>
      </c>
      <c r="H39" s="39"/>
      <c r="I39" s="3"/>
      <c r="J39" s="27"/>
      <c r="K39" s="27"/>
      <c r="L39" s="27"/>
      <c r="M39" s="27"/>
      <c r="N39" s="27"/>
      <c r="O39" s="3"/>
      <c r="P39" s="27"/>
      <c r="Q39" s="27"/>
      <c r="R39" s="3">
        <v>70780030210</v>
      </c>
      <c r="S39" s="27"/>
      <c r="T39" s="5" t="s">
        <v>31</v>
      </c>
      <c r="U39" s="469"/>
    </row>
    <row r="40" spans="1:21" s="480" customFormat="1" ht="13.8" x14ac:dyDescent="0.3">
      <c r="A40" s="604" t="s">
        <v>3682</v>
      </c>
      <c r="B40" s="607" t="s">
        <v>3683</v>
      </c>
      <c r="C40" s="43">
        <v>0</v>
      </c>
      <c r="D40" s="43">
        <v>0.76</v>
      </c>
      <c r="E40" s="694">
        <v>1.331</v>
      </c>
      <c r="F40" s="727">
        <v>5325</v>
      </c>
      <c r="G40" s="662" t="s">
        <v>32</v>
      </c>
      <c r="H40" s="53"/>
      <c r="I40" s="33"/>
      <c r="J40" s="34"/>
      <c r="K40" s="34"/>
      <c r="L40" s="34"/>
      <c r="M40" s="34"/>
      <c r="N40" s="34"/>
      <c r="O40" s="33"/>
      <c r="P40" s="34"/>
      <c r="Q40" s="34"/>
      <c r="R40" s="33" t="s">
        <v>3684</v>
      </c>
      <c r="S40" s="34"/>
      <c r="T40" s="664" t="s">
        <v>31</v>
      </c>
      <c r="U40" s="469"/>
    </row>
    <row r="41" spans="1:21" s="480" customFormat="1" ht="15.75" customHeight="1" thickBot="1" x14ac:dyDescent="0.35">
      <c r="A41" s="606"/>
      <c r="B41" s="609"/>
      <c r="C41" s="68">
        <v>0.76</v>
      </c>
      <c r="D41" s="46">
        <v>1.331</v>
      </c>
      <c r="E41" s="696"/>
      <c r="F41" s="729"/>
      <c r="G41" s="663"/>
      <c r="H41" s="20"/>
      <c r="I41" s="20"/>
      <c r="J41" s="19"/>
      <c r="K41" s="19"/>
      <c r="L41" s="19"/>
      <c r="M41" s="19"/>
      <c r="N41" s="19"/>
      <c r="O41" s="20"/>
      <c r="P41" s="19"/>
      <c r="Q41" s="19"/>
      <c r="R41" s="20">
        <v>70780030205</v>
      </c>
      <c r="S41" s="19"/>
      <c r="T41" s="665"/>
      <c r="U41" s="469"/>
    </row>
    <row r="42" spans="1:21" s="480" customFormat="1" ht="24.6" thickBot="1" x14ac:dyDescent="0.35">
      <c r="A42" s="22" t="s">
        <v>3685</v>
      </c>
      <c r="B42" s="23" t="s">
        <v>3686</v>
      </c>
      <c r="C42" s="41">
        <v>0</v>
      </c>
      <c r="D42" s="41">
        <v>1.758</v>
      </c>
      <c r="E42" s="41">
        <v>1.758</v>
      </c>
      <c r="F42" s="27">
        <v>7033</v>
      </c>
      <c r="G42" s="3" t="s">
        <v>32</v>
      </c>
      <c r="H42" s="3"/>
      <c r="I42" s="3"/>
      <c r="J42" s="27"/>
      <c r="K42" s="27"/>
      <c r="L42" s="27"/>
      <c r="M42" s="27"/>
      <c r="N42" s="27"/>
      <c r="O42" s="3"/>
      <c r="P42" s="27"/>
      <c r="Q42" s="27"/>
      <c r="R42" s="3">
        <v>70780040274</v>
      </c>
      <c r="S42" s="27"/>
      <c r="T42" s="5" t="s">
        <v>31</v>
      </c>
      <c r="U42" s="469"/>
    </row>
    <row r="43" spans="1:21" s="480" customFormat="1" ht="13.8" x14ac:dyDescent="0.3">
      <c r="A43" s="666" t="s">
        <v>3687</v>
      </c>
      <c r="B43" s="607" t="s">
        <v>3688</v>
      </c>
      <c r="C43" s="43">
        <v>0</v>
      </c>
      <c r="D43" s="43">
        <v>0.13100000000000001</v>
      </c>
      <c r="E43" s="694">
        <v>0.25</v>
      </c>
      <c r="F43" s="727">
        <v>998</v>
      </c>
      <c r="G43" s="662" t="s">
        <v>32</v>
      </c>
      <c r="H43" s="402"/>
      <c r="I43" s="33"/>
      <c r="J43" s="34"/>
      <c r="K43" s="34"/>
      <c r="L43" s="34"/>
      <c r="M43" s="34"/>
      <c r="N43" s="34"/>
      <c r="O43" s="33"/>
      <c r="P43" s="34"/>
      <c r="Q43" s="34"/>
      <c r="R43" s="33">
        <v>70780040272</v>
      </c>
      <c r="S43" s="34"/>
      <c r="T43" s="664" t="s">
        <v>31</v>
      </c>
      <c r="U43" s="469"/>
    </row>
    <row r="44" spans="1:21" s="480" customFormat="1" ht="15" customHeight="1" x14ac:dyDescent="0.3">
      <c r="A44" s="748"/>
      <c r="B44" s="608"/>
      <c r="C44" s="79">
        <v>0.13100000000000001</v>
      </c>
      <c r="D44" s="48">
        <v>0.189</v>
      </c>
      <c r="E44" s="695"/>
      <c r="F44" s="728"/>
      <c r="G44" s="714"/>
      <c r="H44" s="493"/>
      <c r="I44" s="14"/>
      <c r="J44" s="13"/>
      <c r="K44" s="13"/>
      <c r="L44" s="13"/>
      <c r="M44" s="13"/>
      <c r="N44" s="13"/>
      <c r="O44" s="14"/>
      <c r="P44" s="13"/>
      <c r="Q44" s="13"/>
      <c r="R44" s="14" t="s">
        <v>3689</v>
      </c>
      <c r="S44" s="13"/>
      <c r="T44" s="724"/>
      <c r="U44" s="469"/>
    </row>
    <row r="45" spans="1:21" s="480" customFormat="1" ht="15.75" customHeight="1" thickBot="1" x14ac:dyDescent="0.35">
      <c r="A45" s="667"/>
      <c r="B45" s="609"/>
      <c r="C45" s="46">
        <v>0.189</v>
      </c>
      <c r="D45" s="46">
        <v>0.25</v>
      </c>
      <c r="E45" s="696"/>
      <c r="F45" s="729"/>
      <c r="G45" s="663"/>
      <c r="H45" s="38"/>
      <c r="I45" s="20"/>
      <c r="J45" s="19"/>
      <c r="K45" s="19"/>
      <c r="L45" s="19"/>
      <c r="M45" s="19"/>
      <c r="N45" s="19"/>
      <c r="O45" s="20"/>
      <c r="P45" s="19"/>
      <c r="Q45" s="19"/>
      <c r="R45" s="20" t="s">
        <v>3690</v>
      </c>
      <c r="S45" s="19"/>
      <c r="T45" s="665"/>
      <c r="U45" s="469"/>
    </row>
    <row r="46" spans="1:21" s="480" customFormat="1" ht="24.6" thickBot="1" x14ac:dyDescent="0.35">
      <c r="A46" s="22" t="s">
        <v>3691</v>
      </c>
      <c r="B46" s="23" t="s">
        <v>3692</v>
      </c>
      <c r="C46" s="41">
        <v>0</v>
      </c>
      <c r="D46" s="41">
        <v>2.1869999999999998</v>
      </c>
      <c r="E46" s="41">
        <v>2.1869999999999998</v>
      </c>
      <c r="F46" s="27">
        <v>8748</v>
      </c>
      <c r="G46" s="3" t="s">
        <v>32</v>
      </c>
      <c r="H46" s="3"/>
      <c r="I46" s="3"/>
      <c r="J46" s="27"/>
      <c r="K46" s="27"/>
      <c r="L46" s="27"/>
      <c r="M46" s="27"/>
      <c r="N46" s="27"/>
      <c r="O46" s="3"/>
      <c r="P46" s="27"/>
      <c r="Q46" s="27"/>
      <c r="R46" s="3">
        <v>70780040273</v>
      </c>
      <c r="S46" s="27"/>
      <c r="T46" s="5" t="s">
        <v>31</v>
      </c>
      <c r="U46" s="469"/>
    </row>
    <row r="47" spans="1:21" s="480" customFormat="1" ht="15" customHeight="1" x14ac:dyDescent="0.3">
      <c r="A47" s="604" t="s">
        <v>3693</v>
      </c>
      <c r="B47" s="651" t="s">
        <v>3694</v>
      </c>
      <c r="C47" s="43">
        <v>0</v>
      </c>
      <c r="D47" s="43">
        <v>1.4770000000000001</v>
      </c>
      <c r="E47" s="694">
        <v>2.198</v>
      </c>
      <c r="F47" s="727">
        <v>8791</v>
      </c>
      <c r="G47" s="662" t="s">
        <v>32</v>
      </c>
      <c r="H47" s="33"/>
      <c r="I47" s="33"/>
      <c r="J47" s="34"/>
      <c r="K47" s="34"/>
      <c r="L47" s="34"/>
      <c r="M47" s="34"/>
      <c r="N47" s="34"/>
      <c r="O47" s="33"/>
      <c r="P47" s="34"/>
      <c r="Q47" s="34"/>
      <c r="R47" s="33">
        <v>70780040276</v>
      </c>
      <c r="S47" s="34"/>
      <c r="T47" s="664" t="s">
        <v>31</v>
      </c>
      <c r="U47" s="469"/>
    </row>
    <row r="48" spans="1:21" s="480" customFormat="1" ht="15" customHeight="1" x14ac:dyDescent="0.3">
      <c r="A48" s="605"/>
      <c r="B48" s="711"/>
      <c r="C48" s="79">
        <v>1.4770000000000001</v>
      </c>
      <c r="D48" s="48">
        <v>1.621</v>
      </c>
      <c r="E48" s="695"/>
      <c r="F48" s="728"/>
      <c r="G48" s="714"/>
      <c r="H48" s="14"/>
      <c r="I48" s="14"/>
      <c r="J48" s="13"/>
      <c r="K48" s="13"/>
      <c r="L48" s="13"/>
      <c r="M48" s="13"/>
      <c r="N48" s="13"/>
      <c r="O48" s="14"/>
      <c r="P48" s="13"/>
      <c r="Q48" s="13"/>
      <c r="R48" s="14" t="s">
        <v>3695</v>
      </c>
      <c r="S48" s="13"/>
      <c r="T48" s="724"/>
      <c r="U48" s="469"/>
    </row>
    <row r="49" spans="1:21" s="480" customFormat="1" ht="15" customHeight="1" x14ac:dyDescent="0.3">
      <c r="A49" s="605"/>
      <c r="B49" s="711"/>
      <c r="C49" s="48">
        <v>1.621</v>
      </c>
      <c r="D49" s="48">
        <v>1.8140000000000001</v>
      </c>
      <c r="E49" s="695"/>
      <c r="F49" s="728"/>
      <c r="G49" s="714"/>
      <c r="H49" s="14"/>
      <c r="I49" s="14"/>
      <c r="J49" s="13"/>
      <c r="K49" s="13"/>
      <c r="L49" s="13"/>
      <c r="M49" s="13"/>
      <c r="N49" s="13"/>
      <c r="O49" s="14"/>
      <c r="P49" s="13"/>
      <c r="Q49" s="13"/>
      <c r="R49" s="14" t="s">
        <v>3696</v>
      </c>
      <c r="S49" s="13"/>
      <c r="T49" s="724"/>
      <c r="U49" s="469"/>
    </row>
    <row r="50" spans="1:21" s="480" customFormat="1" ht="15" customHeight="1" x14ac:dyDescent="0.3">
      <c r="A50" s="605"/>
      <c r="B50" s="711"/>
      <c r="C50" s="48">
        <v>1.8140000000000001</v>
      </c>
      <c r="D50" s="48">
        <v>1.8859999999999999</v>
      </c>
      <c r="E50" s="695"/>
      <c r="F50" s="728"/>
      <c r="G50" s="714"/>
      <c r="H50" s="14"/>
      <c r="I50" s="14"/>
      <c r="J50" s="13"/>
      <c r="K50" s="13"/>
      <c r="L50" s="13"/>
      <c r="M50" s="13"/>
      <c r="N50" s="13"/>
      <c r="O50" s="14"/>
      <c r="P50" s="13"/>
      <c r="Q50" s="13"/>
      <c r="R50" s="14">
        <v>70780040495</v>
      </c>
      <c r="S50" s="13"/>
      <c r="T50" s="724"/>
      <c r="U50" s="469"/>
    </row>
    <row r="51" spans="1:21" s="480" customFormat="1" ht="15.75" customHeight="1" thickBot="1" x14ac:dyDescent="0.35">
      <c r="A51" s="606"/>
      <c r="B51" s="652"/>
      <c r="C51" s="46">
        <v>1.8859999999999999</v>
      </c>
      <c r="D51" s="46">
        <v>2.198</v>
      </c>
      <c r="E51" s="696"/>
      <c r="F51" s="729"/>
      <c r="G51" s="663"/>
      <c r="H51" s="57"/>
      <c r="I51" s="20"/>
      <c r="J51" s="19"/>
      <c r="K51" s="19"/>
      <c r="L51" s="19"/>
      <c r="M51" s="19"/>
      <c r="N51" s="19"/>
      <c r="O51" s="20"/>
      <c r="P51" s="19"/>
      <c r="Q51" s="19"/>
      <c r="R51" s="20" t="s">
        <v>3697</v>
      </c>
      <c r="S51" s="19"/>
      <c r="T51" s="665"/>
      <c r="U51" s="469"/>
    </row>
    <row r="52" spans="1:21" s="480" customFormat="1" ht="24.6" thickBot="1" x14ac:dyDescent="0.35">
      <c r="A52" s="22" t="s">
        <v>3698</v>
      </c>
      <c r="B52" s="23" t="s">
        <v>3699</v>
      </c>
      <c r="C52" s="41">
        <v>0</v>
      </c>
      <c r="D52" s="41">
        <v>0.30099999999999999</v>
      </c>
      <c r="E52" s="41">
        <v>0.30099999999999999</v>
      </c>
      <c r="F52" s="27">
        <v>1204</v>
      </c>
      <c r="G52" s="3" t="s">
        <v>32</v>
      </c>
      <c r="H52" s="3"/>
      <c r="I52" s="3"/>
      <c r="J52" s="27"/>
      <c r="K52" s="27"/>
      <c r="L52" s="27"/>
      <c r="M52" s="27"/>
      <c r="N52" s="27"/>
      <c r="O52" s="3"/>
      <c r="P52" s="27"/>
      <c r="Q52" s="27"/>
      <c r="R52" s="3">
        <v>70780090136</v>
      </c>
      <c r="S52" s="27"/>
      <c r="T52" s="5" t="s">
        <v>31</v>
      </c>
      <c r="U52" s="469"/>
    </row>
    <row r="53" spans="1:21" s="480" customFormat="1" ht="25.5" customHeight="1" x14ac:dyDescent="0.3">
      <c r="A53" s="604" t="s">
        <v>3700</v>
      </c>
      <c r="B53" s="607" t="s">
        <v>3701</v>
      </c>
      <c r="C53" s="43">
        <v>0</v>
      </c>
      <c r="D53" s="43">
        <v>2.1890000000000001</v>
      </c>
      <c r="E53" s="694">
        <v>2.262</v>
      </c>
      <c r="F53" s="727">
        <v>9033</v>
      </c>
      <c r="G53" s="662" t="s">
        <v>32</v>
      </c>
      <c r="H53" s="89"/>
      <c r="I53" s="34"/>
      <c r="J53" s="34"/>
      <c r="K53" s="34"/>
      <c r="L53" s="34"/>
      <c r="M53" s="34"/>
      <c r="N53" s="34"/>
      <c r="O53" s="34"/>
      <c r="P53" s="34"/>
      <c r="Q53" s="34"/>
      <c r="R53" s="33">
        <v>70780090141</v>
      </c>
      <c r="S53" s="34"/>
      <c r="T53" s="664" t="s">
        <v>31</v>
      </c>
      <c r="U53" s="1123"/>
    </row>
    <row r="54" spans="1:21" s="480" customFormat="1" ht="15.75" customHeight="1" thickBot="1" x14ac:dyDescent="0.35">
      <c r="A54" s="606"/>
      <c r="B54" s="609"/>
      <c r="C54" s="68">
        <v>2.1890000000000001</v>
      </c>
      <c r="D54" s="46">
        <v>2.262</v>
      </c>
      <c r="E54" s="696"/>
      <c r="F54" s="729"/>
      <c r="G54" s="663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20" t="s">
        <v>3702</v>
      </c>
      <c r="S54" s="19"/>
      <c r="T54" s="665"/>
      <c r="U54" s="1123"/>
    </row>
    <row r="55" spans="1:21" s="480" customFormat="1" ht="24.6" thickBot="1" x14ac:dyDescent="0.35">
      <c r="A55" s="22" t="s">
        <v>3703</v>
      </c>
      <c r="B55" s="23" t="s">
        <v>3704</v>
      </c>
      <c r="C55" s="41">
        <v>0</v>
      </c>
      <c r="D55" s="41">
        <v>1.024</v>
      </c>
      <c r="E55" s="41">
        <v>1.024</v>
      </c>
      <c r="F55" s="27">
        <v>4096</v>
      </c>
      <c r="G55" s="3" t="s">
        <v>32</v>
      </c>
      <c r="H55" s="3"/>
      <c r="I55" s="3"/>
      <c r="J55" s="27"/>
      <c r="K55" s="27"/>
      <c r="L55" s="27"/>
      <c r="M55" s="27"/>
      <c r="N55" s="27"/>
      <c r="O55" s="3"/>
      <c r="P55" s="27"/>
      <c r="Q55" s="27"/>
      <c r="R55" s="3">
        <v>70780030208</v>
      </c>
      <c r="S55" s="27"/>
      <c r="T55" s="5" t="s">
        <v>31</v>
      </c>
      <c r="U55" s="469"/>
    </row>
    <row r="56" spans="1:21" s="480" customFormat="1" ht="25.5" customHeight="1" thickBot="1" x14ac:dyDescent="0.35">
      <c r="A56" s="22" t="s">
        <v>3705</v>
      </c>
      <c r="B56" s="23" t="s">
        <v>3706</v>
      </c>
      <c r="C56" s="41">
        <v>0</v>
      </c>
      <c r="D56" s="41">
        <v>1.2390000000000001</v>
      </c>
      <c r="E56" s="41">
        <v>1.2390000000000001</v>
      </c>
      <c r="F56" s="27">
        <v>4956</v>
      </c>
      <c r="G56" s="3" t="s">
        <v>32</v>
      </c>
      <c r="H56" s="3"/>
      <c r="I56" s="3"/>
      <c r="J56" s="27"/>
      <c r="K56" s="27"/>
      <c r="L56" s="27"/>
      <c r="M56" s="27"/>
      <c r="N56" s="27"/>
      <c r="O56" s="3"/>
      <c r="P56" s="27"/>
      <c r="Q56" s="27"/>
      <c r="R56" s="3">
        <v>70780030207</v>
      </c>
      <c r="S56" s="27"/>
      <c r="T56" s="5" t="s">
        <v>31</v>
      </c>
      <c r="U56" s="469"/>
    </row>
    <row r="57" spans="1:21" s="480" customFormat="1" ht="24.6" thickBot="1" x14ac:dyDescent="0.35">
      <c r="A57" s="22" t="s">
        <v>3707</v>
      </c>
      <c r="B57" s="23" t="s">
        <v>3708</v>
      </c>
      <c r="C57" s="41">
        <v>0</v>
      </c>
      <c r="D57" s="41">
        <v>0.88800000000000001</v>
      </c>
      <c r="E57" s="41">
        <v>0.88800000000000001</v>
      </c>
      <c r="F57" s="27">
        <v>3552</v>
      </c>
      <c r="G57" s="3" t="s">
        <v>32</v>
      </c>
      <c r="H57" s="3"/>
      <c r="I57" s="3"/>
      <c r="J57" s="27"/>
      <c r="K57" s="27"/>
      <c r="L57" s="27"/>
      <c r="M57" s="27"/>
      <c r="N57" s="27"/>
      <c r="O57" s="3"/>
      <c r="P57" s="27"/>
      <c r="Q57" s="27"/>
      <c r="R57" s="3">
        <v>70780040275</v>
      </c>
      <c r="S57" s="27"/>
      <c r="T57" s="5" t="s">
        <v>31</v>
      </c>
      <c r="U57" s="469"/>
    </row>
    <row r="58" spans="1:21" s="480" customFormat="1" ht="25.5" customHeight="1" x14ac:dyDescent="0.3">
      <c r="A58" s="604" t="s">
        <v>3709</v>
      </c>
      <c r="B58" s="651" t="s">
        <v>3710</v>
      </c>
      <c r="C58" s="43">
        <v>0</v>
      </c>
      <c r="D58" s="43">
        <v>0.70699999999999996</v>
      </c>
      <c r="E58" s="694">
        <v>1.014</v>
      </c>
      <c r="F58" s="727">
        <v>4057</v>
      </c>
      <c r="G58" s="662" t="s">
        <v>32</v>
      </c>
      <c r="H58" s="53"/>
      <c r="I58" s="33"/>
      <c r="J58" s="34"/>
      <c r="K58" s="34"/>
      <c r="L58" s="34"/>
      <c r="M58" s="34"/>
      <c r="N58" s="34"/>
      <c r="O58" s="33"/>
      <c r="P58" s="34"/>
      <c r="Q58" s="34"/>
      <c r="R58" s="33">
        <v>70780050074</v>
      </c>
      <c r="S58" s="34"/>
      <c r="T58" s="664" t="s">
        <v>31</v>
      </c>
      <c r="U58" s="469"/>
    </row>
    <row r="59" spans="1:21" s="480" customFormat="1" ht="15.75" customHeight="1" thickBot="1" x14ac:dyDescent="0.35">
      <c r="A59" s="606"/>
      <c r="B59" s="652"/>
      <c r="C59" s="68">
        <v>0.70699999999999996</v>
      </c>
      <c r="D59" s="46">
        <v>1.014</v>
      </c>
      <c r="E59" s="696"/>
      <c r="F59" s="729"/>
      <c r="G59" s="663"/>
      <c r="H59" s="20"/>
      <c r="I59" s="20"/>
      <c r="J59" s="19"/>
      <c r="K59" s="19"/>
      <c r="L59" s="19"/>
      <c r="M59" s="19"/>
      <c r="N59" s="19"/>
      <c r="O59" s="20"/>
      <c r="P59" s="19"/>
      <c r="Q59" s="19"/>
      <c r="R59" s="20">
        <v>70780010022</v>
      </c>
      <c r="S59" s="19"/>
      <c r="T59" s="665"/>
      <c r="U59" s="469"/>
    </row>
    <row r="60" spans="1:21" s="480" customFormat="1" ht="13.8" x14ac:dyDescent="0.3">
      <c r="A60" s="604" t="s">
        <v>3711</v>
      </c>
      <c r="B60" s="607" t="s">
        <v>3712</v>
      </c>
      <c r="C60" s="43">
        <v>0</v>
      </c>
      <c r="D60" s="43">
        <v>0.96699999999999997</v>
      </c>
      <c r="E60" s="694">
        <v>1.9970000000000001</v>
      </c>
      <c r="F60" s="727">
        <v>7989</v>
      </c>
      <c r="G60" s="662" t="s">
        <v>32</v>
      </c>
      <c r="H60" s="53"/>
      <c r="I60" s="33"/>
      <c r="J60" s="34"/>
      <c r="K60" s="34"/>
      <c r="L60" s="34"/>
      <c r="M60" s="34"/>
      <c r="N60" s="34"/>
      <c r="O60" s="33"/>
      <c r="P60" s="34"/>
      <c r="Q60" s="34"/>
      <c r="R60" s="33">
        <v>70780060053</v>
      </c>
      <c r="S60" s="34"/>
      <c r="T60" s="664" t="s">
        <v>31</v>
      </c>
      <c r="U60" s="469"/>
    </row>
    <row r="61" spans="1:21" s="480" customFormat="1" ht="15.75" customHeight="1" thickBot="1" x14ac:dyDescent="0.35">
      <c r="A61" s="606"/>
      <c r="B61" s="609"/>
      <c r="C61" s="68">
        <v>0.96699999999999997</v>
      </c>
      <c r="D61" s="46">
        <v>1.9970000000000001</v>
      </c>
      <c r="E61" s="696"/>
      <c r="F61" s="729"/>
      <c r="G61" s="663"/>
      <c r="H61" s="20"/>
      <c r="I61" s="46"/>
      <c r="J61" s="19"/>
      <c r="K61" s="19"/>
      <c r="L61" s="19"/>
      <c r="M61" s="19"/>
      <c r="N61" s="19"/>
      <c r="O61" s="20"/>
      <c r="P61" s="19"/>
      <c r="Q61" s="19"/>
      <c r="R61" s="20" t="s">
        <v>3713</v>
      </c>
      <c r="S61" s="19"/>
      <c r="T61" s="665"/>
      <c r="U61" s="469"/>
    </row>
    <row r="62" spans="1:21" s="480" customFormat="1" ht="15.75" customHeight="1" x14ac:dyDescent="0.3">
      <c r="A62" s="604" t="s">
        <v>3714</v>
      </c>
      <c r="B62" s="651" t="s">
        <v>3715</v>
      </c>
      <c r="C62" s="43">
        <v>0</v>
      </c>
      <c r="D62" s="43">
        <v>0.77300000000000002</v>
      </c>
      <c r="E62" s="694">
        <v>1.964</v>
      </c>
      <c r="F62" s="727">
        <v>7858</v>
      </c>
      <c r="G62" s="662" t="s">
        <v>32</v>
      </c>
      <c r="H62" s="33"/>
      <c r="I62" s="33"/>
      <c r="J62" s="34"/>
      <c r="K62" s="34"/>
      <c r="L62" s="34"/>
      <c r="M62" s="34"/>
      <c r="N62" s="34"/>
      <c r="O62" s="33"/>
      <c r="P62" s="34"/>
      <c r="Q62" s="34"/>
      <c r="R62" s="33">
        <v>70780080206</v>
      </c>
      <c r="S62" s="34"/>
      <c r="T62" s="664" t="s">
        <v>31</v>
      </c>
      <c r="U62" s="469"/>
    </row>
    <row r="63" spans="1:21" s="480" customFormat="1" ht="15" customHeight="1" x14ac:dyDescent="0.3">
      <c r="A63" s="605"/>
      <c r="B63" s="711"/>
      <c r="C63" s="79">
        <v>0.77300000000000002</v>
      </c>
      <c r="D63" s="48">
        <v>1.097</v>
      </c>
      <c r="E63" s="695"/>
      <c r="F63" s="728"/>
      <c r="G63" s="714"/>
      <c r="H63" s="80"/>
      <c r="I63" s="14"/>
      <c r="J63" s="13"/>
      <c r="K63" s="13"/>
      <c r="L63" s="13"/>
      <c r="M63" s="13"/>
      <c r="N63" s="13"/>
      <c r="O63" s="14"/>
      <c r="P63" s="13"/>
      <c r="Q63" s="13"/>
      <c r="R63" s="14" t="s">
        <v>3716</v>
      </c>
      <c r="S63" s="13"/>
      <c r="T63" s="724"/>
      <c r="U63" s="469"/>
    </row>
    <row r="64" spans="1:21" s="480" customFormat="1" ht="15.75" customHeight="1" thickBot="1" x14ac:dyDescent="0.35">
      <c r="A64" s="606"/>
      <c r="B64" s="652"/>
      <c r="C64" s="46">
        <v>1.097</v>
      </c>
      <c r="D64" s="46">
        <v>1.964</v>
      </c>
      <c r="E64" s="696"/>
      <c r="F64" s="729"/>
      <c r="G64" s="663"/>
      <c r="H64" s="20"/>
      <c r="I64" s="20"/>
      <c r="J64" s="19"/>
      <c r="K64" s="19"/>
      <c r="L64" s="19"/>
      <c r="M64" s="19"/>
      <c r="N64" s="19"/>
      <c r="O64" s="20"/>
      <c r="P64" s="19"/>
      <c r="Q64" s="19"/>
      <c r="R64" s="20">
        <v>70780080280</v>
      </c>
      <c r="S64" s="19"/>
      <c r="T64" s="665"/>
      <c r="U64" s="469"/>
    </row>
    <row r="65" spans="1:21" s="480" customFormat="1" ht="24.6" thickBot="1" x14ac:dyDescent="0.35">
      <c r="A65" s="22" t="s">
        <v>3717</v>
      </c>
      <c r="B65" s="23" t="s">
        <v>3718</v>
      </c>
      <c r="C65" s="41">
        <v>0</v>
      </c>
      <c r="D65" s="41">
        <v>0.441</v>
      </c>
      <c r="E65" s="41">
        <v>0.441</v>
      </c>
      <c r="F65" s="27">
        <v>1765</v>
      </c>
      <c r="G65" s="3" t="s">
        <v>32</v>
      </c>
      <c r="H65" s="3"/>
      <c r="I65" s="3"/>
      <c r="J65" s="27"/>
      <c r="K65" s="27"/>
      <c r="L65" s="27"/>
      <c r="M65" s="27"/>
      <c r="N65" s="27"/>
      <c r="O65" s="3"/>
      <c r="P65" s="27"/>
      <c r="Q65" s="27"/>
      <c r="R65" s="3">
        <v>70780030295</v>
      </c>
      <c r="S65" s="27"/>
      <c r="T65" s="5" t="s">
        <v>31</v>
      </c>
      <c r="U65" s="469"/>
    </row>
    <row r="66" spans="1:21" s="480" customFormat="1" ht="15" customHeight="1" x14ac:dyDescent="0.3">
      <c r="A66" s="604" t="s">
        <v>3719</v>
      </c>
      <c r="B66" s="607" t="s">
        <v>3720</v>
      </c>
      <c r="C66" s="43">
        <v>0</v>
      </c>
      <c r="D66" s="43">
        <v>1.0580000000000001</v>
      </c>
      <c r="E66" s="694">
        <v>2.008</v>
      </c>
      <c r="F66" s="727">
        <v>8031</v>
      </c>
      <c r="G66" s="662" t="s">
        <v>32</v>
      </c>
      <c r="H66" s="33"/>
      <c r="I66" s="33"/>
      <c r="J66" s="34"/>
      <c r="K66" s="34"/>
      <c r="L66" s="34"/>
      <c r="M66" s="34"/>
      <c r="N66" s="34"/>
      <c r="O66" s="33"/>
      <c r="P66" s="34"/>
      <c r="Q66" s="34"/>
      <c r="R66" s="33">
        <v>70780090148</v>
      </c>
      <c r="S66" s="34"/>
      <c r="T66" s="642" t="s">
        <v>31</v>
      </c>
      <c r="U66" s="469"/>
    </row>
    <row r="67" spans="1:21" s="480" customFormat="1" ht="15" customHeight="1" x14ac:dyDescent="0.3">
      <c r="A67" s="605"/>
      <c r="B67" s="608"/>
      <c r="C67" s="48">
        <v>1.0580000000000001</v>
      </c>
      <c r="D67" s="48">
        <v>0.27500000000000002</v>
      </c>
      <c r="E67" s="695"/>
      <c r="F67" s="728"/>
      <c r="G67" s="714"/>
      <c r="H67" s="14"/>
      <c r="I67" s="14"/>
      <c r="J67" s="13"/>
      <c r="K67" s="13"/>
      <c r="L67" s="13"/>
      <c r="M67" s="13"/>
      <c r="N67" s="13"/>
      <c r="O67" s="14"/>
      <c r="P67" s="13"/>
      <c r="Q67" s="13"/>
      <c r="R67" s="14" t="s">
        <v>3721</v>
      </c>
      <c r="S67" s="13"/>
      <c r="T67" s="636"/>
      <c r="U67" s="469"/>
    </row>
    <row r="68" spans="1:21" s="480" customFormat="1" ht="15" customHeight="1" x14ac:dyDescent="0.3">
      <c r="A68" s="605"/>
      <c r="B68" s="608"/>
      <c r="C68" s="48">
        <v>1.333</v>
      </c>
      <c r="D68" s="48">
        <v>1.536</v>
      </c>
      <c r="E68" s="695"/>
      <c r="F68" s="728"/>
      <c r="G68" s="714"/>
      <c r="H68" s="14"/>
      <c r="I68" s="14"/>
      <c r="J68" s="13"/>
      <c r="K68" s="13"/>
      <c r="L68" s="13"/>
      <c r="M68" s="13"/>
      <c r="N68" s="13"/>
      <c r="O68" s="14"/>
      <c r="P68" s="13"/>
      <c r="Q68" s="13"/>
      <c r="R68" s="14" t="s">
        <v>3722</v>
      </c>
      <c r="S68" s="13"/>
      <c r="T68" s="636"/>
      <c r="U68" s="469"/>
    </row>
    <row r="69" spans="1:21" s="480" customFormat="1" ht="15" customHeight="1" x14ac:dyDescent="0.3">
      <c r="A69" s="605"/>
      <c r="B69" s="608"/>
      <c r="C69" s="48">
        <v>1.536</v>
      </c>
      <c r="D69" s="48">
        <v>1.764</v>
      </c>
      <c r="E69" s="695"/>
      <c r="F69" s="728"/>
      <c r="G69" s="714"/>
      <c r="H69" s="80"/>
      <c r="I69" s="14"/>
      <c r="J69" s="13"/>
      <c r="K69" s="13"/>
      <c r="L69" s="13"/>
      <c r="M69" s="13"/>
      <c r="N69" s="13"/>
      <c r="O69" s="14"/>
      <c r="P69" s="13"/>
      <c r="Q69" s="13"/>
      <c r="R69" s="14" t="s">
        <v>3723</v>
      </c>
      <c r="S69" s="13"/>
      <c r="T69" s="636"/>
      <c r="U69" s="469"/>
    </row>
    <row r="70" spans="1:21" s="480" customFormat="1" ht="15" customHeight="1" x14ac:dyDescent="0.3">
      <c r="A70" s="605"/>
      <c r="B70" s="608"/>
      <c r="C70" s="48">
        <v>1.764</v>
      </c>
      <c r="D70" s="48">
        <v>1.8160000000000001</v>
      </c>
      <c r="E70" s="695"/>
      <c r="F70" s="728"/>
      <c r="G70" s="714"/>
      <c r="H70" s="14"/>
      <c r="I70" s="14"/>
      <c r="J70" s="13"/>
      <c r="K70" s="13"/>
      <c r="L70" s="13"/>
      <c r="M70" s="13"/>
      <c r="N70" s="13"/>
      <c r="O70" s="14"/>
      <c r="P70" s="13"/>
      <c r="Q70" s="13"/>
      <c r="R70" s="14" t="s">
        <v>3724</v>
      </c>
      <c r="S70" s="13"/>
      <c r="T70" s="636"/>
      <c r="U70" s="469"/>
    </row>
    <row r="71" spans="1:21" s="480" customFormat="1" ht="15" customHeight="1" x14ac:dyDescent="0.3">
      <c r="A71" s="605"/>
      <c r="B71" s="608"/>
      <c r="C71" s="48">
        <v>1.8160000000000001</v>
      </c>
      <c r="D71" s="48">
        <v>1.9330000000000001</v>
      </c>
      <c r="E71" s="695"/>
      <c r="F71" s="728"/>
      <c r="G71" s="714"/>
      <c r="H71" s="14"/>
      <c r="I71" s="14"/>
      <c r="J71" s="13"/>
      <c r="K71" s="13"/>
      <c r="L71" s="13"/>
      <c r="M71" s="13"/>
      <c r="N71" s="13"/>
      <c r="O71" s="14"/>
      <c r="P71" s="13"/>
      <c r="Q71" s="13"/>
      <c r="R71" s="14" t="s">
        <v>3725</v>
      </c>
      <c r="S71" s="13"/>
      <c r="T71" s="636"/>
      <c r="U71" s="469"/>
    </row>
    <row r="72" spans="1:21" s="480" customFormat="1" ht="15.75" customHeight="1" thickBot="1" x14ac:dyDescent="0.35">
      <c r="A72" s="606"/>
      <c r="B72" s="609"/>
      <c r="C72" s="46">
        <v>1.9330000000000001</v>
      </c>
      <c r="D72" s="46">
        <v>2.008</v>
      </c>
      <c r="E72" s="696"/>
      <c r="F72" s="729"/>
      <c r="G72" s="663"/>
      <c r="H72" s="57"/>
      <c r="I72" s="20"/>
      <c r="J72" s="19"/>
      <c r="K72" s="19"/>
      <c r="L72" s="19"/>
      <c r="M72" s="19"/>
      <c r="N72" s="19"/>
      <c r="O72" s="20"/>
      <c r="P72" s="19"/>
      <c r="Q72" s="19"/>
      <c r="R72" s="20">
        <v>70780090153</v>
      </c>
      <c r="S72" s="19"/>
      <c r="T72" s="637"/>
      <c r="U72" s="469"/>
    </row>
    <row r="73" spans="1:21" s="480" customFormat="1" ht="13.8" x14ac:dyDescent="0.3">
      <c r="A73" s="666" t="s">
        <v>3726</v>
      </c>
      <c r="B73" s="651" t="s">
        <v>3727</v>
      </c>
      <c r="C73" s="43">
        <v>0</v>
      </c>
      <c r="D73" s="43">
        <v>0.20699999999999999</v>
      </c>
      <c r="E73" s="694">
        <v>0.26</v>
      </c>
      <c r="F73" s="727">
        <v>1039</v>
      </c>
      <c r="G73" s="662" t="s">
        <v>32</v>
      </c>
      <c r="H73" s="402"/>
      <c r="I73" s="33"/>
      <c r="J73" s="34"/>
      <c r="K73" s="34"/>
      <c r="L73" s="34"/>
      <c r="M73" s="34"/>
      <c r="N73" s="34"/>
      <c r="O73" s="33"/>
      <c r="P73" s="34"/>
      <c r="Q73" s="34"/>
      <c r="R73" s="33">
        <v>70780040465</v>
      </c>
      <c r="S73" s="34"/>
      <c r="T73" s="664" t="s">
        <v>31</v>
      </c>
      <c r="U73" s="469"/>
    </row>
    <row r="74" spans="1:21" s="480" customFormat="1" ht="15.75" customHeight="1" thickBot="1" x14ac:dyDescent="0.35">
      <c r="A74" s="667"/>
      <c r="B74" s="652"/>
      <c r="C74" s="68">
        <v>0.20699999999999999</v>
      </c>
      <c r="D74" s="46">
        <v>0.26</v>
      </c>
      <c r="E74" s="696"/>
      <c r="F74" s="729"/>
      <c r="G74" s="663"/>
      <c r="H74" s="38"/>
      <c r="I74" s="20"/>
      <c r="J74" s="19"/>
      <c r="K74" s="19"/>
      <c r="L74" s="19"/>
      <c r="M74" s="19"/>
      <c r="N74" s="19"/>
      <c r="O74" s="20"/>
      <c r="P74" s="19"/>
      <c r="Q74" s="19"/>
      <c r="R74" s="20" t="s">
        <v>3728</v>
      </c>
      <c r="S74" s="19"/>
      <c r="T74" s="665"/>
      <c r="U74" s="469"/>
    </row>
    <row r="75" spans="1:21" s="480" customFormat="1" ht="13.8" x14ac:dyDescent="0.3">
      <c r="A75" s="666" t="s">
        <v>3729</v>
      </c>
      <c r="B75" s="651" t="s">
        <v>3730</v>
      </c>
      <c r="C75" s="30">
        <v>0</v>
      </c>
      <c r="D75" s="30">
        <v>6.7000000000000004E-2</v>
      </c>
      <c r="E75" s="668">
        <v>0.25900000000000001</v>
      </c>
      <c r="F75" s="727">
        <v>1037</v>
      </c>
      <c r="G75" s="727" t="s">
        <v>32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3" t="s">
        <v>3731</v>
      </c>
      <c r="S75" s="34"/>
      <c r="T75" s="664" t="s">
        <v>31</v>
      </c>
      <c r="U75" s="469"/>
    </row>
    <row r="76" spans="1:21" s="480" customFormat="1" ht="15" customHeight="1" x14ac:dyDescent="0.3">
      <c r="A76" s="748"/>
      <c r="B76" s="711"/>
      <c r="C76" s="7">
        <v>6.7000000000000004E-2</v>
      </c>
      <c r="D76" s="10">
        <v>0.22500000000000001</v>
      </c>
      <c r="E76" s="725"/>
      <c r="F76" s="728"/>
      <c r="G76" s="728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4" t="s">
        <v>3732</v>
      </c>
      <c r="S76" s="13"/>
      <c r="T76" s="724"/>
      <c r="U76" s="469"/>
    </row>
    <row r="77" spans="1:21" s="480" customFormat="1" ht="15.75" customHeight="1" thickBot="1" x14ac:dyDescent="0.35">
      <c r="A77" s="667"/>
      <c r="B77" s="652"/>
      <c r="C77" s="16">
        <v>0.22500000000000001</v>
      </c>
      <c r="D77" s="16">
        <v>0.25900000000000001</v>
      </c>
      <c r="E77" s="669"/>
      <c r="F77" s="729"/>
      <c r="G77" s="72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20">
        <v>70780040459</v>
      </c>
      <c r="S77" s="19"/>
      <c r="T77" s="665"/>
      <c r="U77" s="469"/>
    </row>
    <row r="78" spans="1:21" s="480" customFormat="1" ht="24.6" thickBot="1" x14ac:dyDescent="0.35">
      <c r="A78" s="22" t="s">
        <v>3733</v>
      </c>
      <c r="B78" s="23" t="s">
        <v>3734</v>
      </c>
      <c r="C78" s="41">
        <v>0</v>
      </c>
      <c r="D78" s="41">
        <v>0.154</v>
      </c>
      <c r="E78" s="41">
        <v>0.154</v>
      </c>
      <c r="F78" s="27">
        <v>615</v>
      </c>
      <c r="G78" s="3" t="s">
        <v>3555</v>
      </c>
      <c r="H78" s="3"/>
      <c r="I78" s="3"/>
      <c r="J78" s="27"/>
      <c r="K78" s="27"/>
      <c r="L78" s="27"/>
      <c r="M78" s="27"/>
      <c r="N78" s="27"/>
      <c r="O78" s="3"/>
      <c r="P78" s="27"/>
      <c r="Q78" s="27"/>
      <c r="R78" s="3">
        <v>70780060052</v>
      </c>
      <c r="S78" s="27"/>
      <c r="T78" s="5" t="s">
        <v>31</v>
      </c>
      <c r="U78" s="469"/>
    </row>
    <row r="79" spans="1:21" s="480" customFormat="1" ht="13.8" x14ac:dyDescent="0.3">
      <c r="A79" s="666" t="s">
        <v>3735</v>
      </c>
      <c r="B79" s="651" t="s">
        <v>3736</v>
      </c>
      <c r="C79" s="43">
        <v>0</v>
      </c>
      <c r="D79" s="43">
        <v>0.19500000000000001</v>
      </c>
      <c r="E79" s="694">
        <v>0.26800000000000002</v>
      </c>
      <c r="F79" s="727">
        <v>1071</v>
      </c>
      <c r="G79" s="662" t="s">
        <v>3555</v>
      </c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3" t="s">
        <v>3737</v>
      </c>
      <c r="S79" s="34"/>
      <c r="T79" s="664" t="s">
        <v>31</v>
      </c>
      <c r="U79" s="469"/>
    </row>
    <row r="80" spans="1:21" s="480" customFormat="1" ht="15.75" customHeight="1" thickBot="1" x14ac:dyDescent="0.35">
      <c r="A80" s="667"/>
      <c r="B80" s="652"/>
      <c r="C80" s="68">
        <v>0.19500000000000001</v>
      </c>
      <c r="D80" s="68">
        <v>0.26800000000000002</v>
      </c>
      <c r="E80" s="696"/>
      <c r="F80" s="729"/>
      <c r="G80" s="663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57" t="s">
        <v>3738</v>
      </c>
      <c r="S80" s="94"/>
      <c r="T80" s="665"/>
      <c r="U80" s="469"/>
    </row>
    <row r="81" spans="1:21" s="480" customFormat="1" ht="13.8" x14ac:dyDescent="0.3">
      <c r="A81" s="666" t="s">
        <v>3739</v>
      </c>
      <c r="B81" s="651" t="s">
        <v>3740</v>
      </c>
      <c r="C81" s="43">
        <v>0</v>
      </c>
      <c r="D81" s="43">
        <v>0.23699999999999999</v>
      </c>
      <c r="E81" s="694">
        <v>0.4</v>
      </c>
      <c r="F81" s="727">
        <v>1600</v>
      </c>
      <c r="G81" s="662" t="s">
        <v>32</v>
      </c>
      <c r="H81" s="32"/>
      <c r="I81" s="34"/>
      <c r="J81" s="34"/>
      <c r="K81" s="34"/>
      <c r="L81" s="34"/>
      <c r="M81" s="34"/>
      <c r="N81" s="34"/>
      <c r="O81" s="34"/>
      <c r="P81" s="34"/>
      <c r="Q81" s="34"/>
      <c r="R81" s="33" t="s">
        <v>3741</v>
      </c>
      <c r="S81" s="34"/>
      <c r="T81" s="664" t="s">
        <v>31</v>
      </c>
      <c r="U81" s="469"/>
    </row>
    <row r="82" spans="1:21" s="480" customFormat="1" ht="15.75" customHeight="1" thickBot="1" x14ac:dyDescent="0.35">
      <c r="A82" s="667"/>
      <c r="B82" s="652"/>
      <c r="C82" s="68">
        <v>0.23699999999999999</v>
      </c>
      <c r="D82" s="46">
        <v>0.4</v>
      </c>
      <c r="E82" s="696"/>
      <c r="F82" s="729"/>
      <c r="G82" s="663"/>
      <c r="H82" s="394"/>
      <c r="I82" s="19"/>
      <c r="J82" s="19"/>
      <c r="K82" s="19"/>
      <c r="L82" s="19"/>
      <c r="M82" s="19"/>
      <c r="N82" s="19"/>
      <c r="O82" s="19"/>
      <c r="P82" s="19"/>
      <c r="Q82" s="19"/>
      <c r="R82" s="20" t="s">
        <v>3742</v>
      </c>
      <c r="S82" s="19"/>
      <c r="T82" s="665"/>
      <c r="U82" s="469"/>
    </row>
    <row r="83" spans="1:21" s="480" customFormat="1" ht="13.8" x14ac:dyDescent="0.3">
      <c r="A83" s="604" t="s">
        <v>3743</v>
      </c>
      <c r="B83" s="607" t="s">
        <v>3744</v>
      </c>
      <c r="C83" s="43">
        <v>0</v>
      </c>
      <c r="D83" s="70">
        <v>0.46800000000000003</v>
      </c>
      <c r="E83" s="694">
        <v>0.55000000000000004</v>
      </c>
      <c r="F83" s="727">
        <v>2202</v>
      </c>
      <c r="G83" s="662" t="s">
        <v>32</v>
      </c>
      <c r="H83" s="486"/>
      <c r="I83" s="34"/>
      <c r="J83" s="34"/>
      <c r="K83" s="34"/>
      <c r="L83" s="34"/>
      <c r="M83" s="34"/>
      <c r="N83" s="34"/>
      <c r="O83" s="34"/>
      <c r="P83" s="34"/>
      <c r="Q83" s="34"/>
      <c r="R83" s="33" t="s">
        <v>3745</v>
      </c>
      <c r="S83" s="95"/>
      <c r="T83" s="664" t="s">
        <v>31</v>
      </c>
      <c r="U83" s="469"/>
    </row>
    <row r="84" spans="1:21" s="480" customFormat="1" ht="15.75" customHeight="1" thickBot="1" x14ac:dyDescent="0.35">
      <c r="A84" s="606"/>
      <c r="B84" s="609"/>
      <c r="C84" s="68">
        <v>0.46800000000000003</v>
      </c>
      <c r="D84" s="46">
        <v>0.55000000000000004</v>
      </c>
      <c r="E84" s="696"/>
      <c r="F84" s="729"/>
      <c r="G84" s="663"/>
      <c r="H84" s="18"/>
      <c r="I84" s="19"/>
      <c r="J84" s="19"/>
      <c r="K84" s="19"/>
      <c r="L84" s="19"/>
      <c r="M84" s="19"/>
      <c r="N84" s="19"/>
      <c r="O84" s="19"/>
      <c r="P84" s="19"/>
      <c r="Q84" s="19"/>
      <c r="R84" s="20" t="s">
        <v>3746</v>
      </c>
      <c r="S84" s="19"/>
      <c r="T84" s="665"/>
      <c r="U84" s="469"/>
    </row>
    <row r="85" spans="1:21" s="480" customFormat="1" ht="24.6" thickBot="1" x14ac:dyDescent="0.35">
      <c r="A85" s="22" t="s">
        <v>3747</v>
      </c>
      <c r="B85" s="23" t="s">
        <v>226</v>
      </c>
      <c r="C85" s="41">
        <v>0</v>
      </c>
      <c r="D85" s="41">
        <v>0.73599999999999999</v>
      </c>
      <c r="E85" s="41">
        <v>0.73599999999999999</v>
      </c>
      <c r="F85" s="3">
        <v>4418</v>
      </c>
      <c r="G85" s="3" t="s">
        <v>3492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3">
        <v>70780040407</v>
      </c>
      <c r="S85" s="27" t="s">
        <v>3748</v>
      </c>
      <c r="T85" s="5" t="s">
        <v>31</v>
      </c>
      <c r="U85" s="469"/>
    </row>
    <row r="86" spans="1:21" s="480" customFormat="1" ht="24.6" thickBot="1" x14ac:dyDescent="0.35">
      <c r="A86" s="22" t="s">
        <v>3749</v>
      </c>
      <c r="B86" s="23" t="s">
        <v>3750</v>
      </c>
      <c r="C86" s="41">
        <v>0</v>
      </c>
      <c r="D86" s="41">
        <v>0.1</v>
      </c>
      <c r="E86" s="41">
        <v>0.1</v>
      </c>
      <c r="F86" s="3">
        <v>602</v>
      </c>
      <c r="G86" s="3" t="s">
        <v>3492</v>
      </c>
      <c r="H86" s="26"/>
      <c r="I86" s="27"/>
      <c r="J86" s="27"/>
      <c r="K86" s="27"/>
      <c r="L86" s="27"/>
      <c r="M86" s="27"/>
      <c r="N86" s="27"/>
      <c r="O86" s="27"/>
      <c r="P86" s="27"/>
      <c r="Q86" s="27"/>
      <c r="R86" s="3">
        <v>70780040412</v>
      </c>
      <c r="S86" s="27" t="s">
        <v>3748</v>
      </c>
      <c r="T86" s="5" t="s">
        <v>31</v>
      </c>
      <c r="U86" s="469"/>
    </row>
    <row r="87" spans="1:21" s="480" customFormat="1" ht="24.6" thickBot="1" x14ac:dyDescent="0.35">
      <c r="A87" s="22" t="s">
        <v>3751</v>
      </c>
      <c r="B87" s="23" t="s">
        <v>389</v>
      </c>
      <c r="C87" s="41">
        <v>0</v>
      </c>
      <c r="D87" s="41">
        <v>0.2</v>
      </c>
      <c r="E87" s="41">
        <v>0.2</v>
      </c>
      <c r="F87" s="3">
        <v>1160</v>
      </c>
      <c r="G87" s="3" t="s">
        <v>3492</v>
      </c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3">
        <v>70780040405</v>
      </c>
      <c r="S87" s="27" t="s">
        <v>3748</v>
      </c>
      <c r="T87" s="5" t="s">
        <v>31</v>
      </c>
      <c r="U87" s="469"/>
    </row>
    <row r="88" spans="1:21" s="480" customFormat="1" ht="24.6" thickBot="1" x14ac:dyDescent="0.35">
      <c r="A88" s="22" t="s">
        <v>3752</v>
      </c>
      <c r="B88" s="23" t="s">
        <v>3753</v>
      </c>
      <c r="C88" s="41">
        <v>0</v>
      </c>
      <c r="D88" s="41">
        <v>0.19900000000000001</v>
      </c>
      <c r="E88" s="41">
        <v>0.19900000000000001</v>
      </c>
      <c r="F88" s="3">
        <v>1171</v>
      </c>
      <c r="G88" s="3" t="s">
        <v>3492</v>
      </c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3">
        <v>70780040408</v>
      </c>
      <c r="S88" s="27" t="s">
        <v>3748</v>
      </c>
      <c r="T88" s="5" t="s">
        <v>31</v>
      </c>
      <c r="U88" s="469"/>
    </row>
    <row r="89" spans="1:21" s="480" customFormat="1" ht="24.6" thickBot="1" x14ac:dyDescent="0.35">
      <c r="A89" s="22" t="s">
        <v>3754</v>
      </c>
      <c r="B89" s="23" t="s">
        <v>240</v>
      </c>
      <c r="C89" s="41">
        <v>0</v>
      </c>
      <c r="D89" s="41">
        <v>0.28299999999999997</v>
      </c>
      <c r="E89" s="41">
        <v>0.28299999999999997</v>
      </c>
      <c r="F89" s="3">
        <v>1695</v>
      </c>
      <c r="G89" s="3" t="s">
        <v>3492</v>
      </c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3">
        <v>70780040409</v>
      </c>
      <c r="S89" s="27" t="s">
        <v>3748</v>
      </c>
      <c r="T89" s="5" t="s">
        <v>31</v>
      </c>
      <c r="U89" s="469"/>
    </row>
    <row r="90" spans="1:21" s="480" customFormat="1" ht="24.6" thickBot="1" x14ac:dyDescent="0.35">
      <c r="A90" s="22" t="s">
        <v>3755</v>
      </c>
      <c r="B90" s="23" t="s">
        <v>3756</v>
      </c>
      <c r="C90" s="41">
        <v>0</v>
      </c>
      <c r="D90" s="41">
        <v>0.125</v>
      </c>
      <c r="E90" s="41">
        <v>0.125</v>
      </c>
      <c r="F90" s="3">
        <v>501</v>
      </c>
      <c r="G90" s="3" t="s">
        <v>32</v>
      </c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3">
        <v>70780040406</v>
      </c>
      <c r="S90" s="27" t="s">
        <v>3748</v>
      </c>
      <c r="T90" s="5" t="s">
        <v>31</v>
      </c>
      <c r="U90" s="469"/>
    </row>
    <row r="91" spans="1:21" s="480" customFormat="1" ht="24.6" thickBot="1" x14ac:dyDescent="0.35">
      <c r="A91" s="22" t="s">
        <v>3757</v>
      </c>
      <c r="B91" s="23" t="s">
        <v>1708</v>
      </c>
      <c r="C91" s="41">
        <v>0</v>
      </c>
      <c r="D91" s="41">
        <v>0.10299999999999999</v>
      </c>
      <c r="E91" s="41">
        <v>0.10299999999999999</v>
      </c>
      <c r="F91" s="3">
        <v>412</v>
      </c>
      <c r="G91" s="3" t="s">
        <v>3492</v>
      </c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3">
        <v>70780040411</v>
      </c>
      <c r="S91" s="27" t="s">
        <v>3748</v>
      </c>
      <c r="T91" s="5" t="s">
        <v>31</v>
      </c>
      <c r="U91" s="469"/>
    </row>
    <row r="92" spans="1:21" s="480" customFormat="1" ht="25.5" customHeight="1" thickBot="1" x14ac:dyDescent="0.35">
      <c r="A92" s="22" t="s">
        <v>3758</v>
      </c>
      <c r="B92" s="23" t="s">
        <v>247</v>
      </c>
      <c r="C92" s="41">
        <v>0</v>
      </c>
      <c r="D92" s="41">
        <v>0.24099999999999999</v>
      </c>
      <c r="E92" s="41">
        <v>0.24099999999999999</v>
      </c>
      <c r="F92" s="3">
        <v>964</v>
      </c>
      <c r="G92" s="3" t="s">
        <v>32</v>
      </c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3">
        <v>70780040410</v>
      </c>
      <c r="S92" s="27" t="s">
        <v>3748</v>
      </c>
      <c r="T92" s="5" t="s">
        <v>31</v>
      </c>
      <c r="U92" s="469"/>
    </row>
    <row r="93" spans="1:21" s="304" customFormat="1" ht="13.8" x14ac:dyDescent="0.3"/>
    <row r="94" spans="1:21" s="304" customFormat="1" ht="24.6" x14ac:dyDescent="0.3">
      <c r="B94" s="61" t="s">
        <v>202</v>
      </c>
      <c r="C94"/>
      <c r="D94"/>
      <c r="E94"/>
      <c r="F94"/>
      <c r="G94"/>
      <c r="H94"/>
    </row>
    <row r="95" spans="1:21" s="304" customFormat="1" ht="24.6" x14ac:dyDescent="0.3">
      <c r="B95" s="61" t="s">
        <v>203</v>
      </c>
      <c r="C95"/>
      <c r="D95"/>
      <c r="E95"/>
      <c r="F95"/>
      <c r="G95"/>
      <c r="H95"/>
    </row>
    <row r="96" spans="1:21" s="304" customFormat="1" ht="24.6" x14ac:dyDescent="0.3">
      <c r="B96" s="61" t="s">
        <v>204</v>
      </c>
      <c r="C96"/>
      <c r="D96"/>
      <c r="E96"/>
      <c r="F96"/>
      <c r="G96"/>
      <c r="H96"/>
    </row>
    <row r="97" spans="1:32" s="304" customFormat="1" ht="24" x14ac:dyDescent="0.25">
      <c r="B97" s="61" t="s">
        <v>205</v>
      </c>
    </row>
    <row r="98" spans="1:32" s="304" customFormat="1" ht="13.8" x14ac:dyDescent="0.3"/>
    <row r="99" spans="1:32" s="59" customFormat="1" ht="27.6" customHeight="1" x14ac:dyDescent="0.25">
      <c r="A99" s="509"/>
      <c r="B99" s="509"/>
      <c r="C99" s="512" t="s">
        <v>3985</v>
      </c>
      <c r="D99" s="543" t="s">
        <v>3986</v>
      </c>
      <c r="E99" s="543"/>
      <c r="F99" s="543"/>
      <c r="G99" s="509"/>
      <c r="H99" s="509"/>
      <c r="I99" s="509"/>
      <c r="J99" s="509"/>
      <c r="K99" s="509"/>
      <c r="L99" s="509"/>
      <c r="M99" s="509"/>
      <c r="N99" s="509"/>
      <c r="O99" s="509"/>
      <c r="P99" s="509"/>
      <c r="Q99" s="509"/>
      <c r="R99" s="509"/>
      <c r="S99" s="509"/>
      <c r="T99" s="509"/>
      <c r="U99" s="509"/>
      <c r="V99" s="509"/>
      <c r="W99" s="509"/>
      <c r="X99" s="509"/>
      <c r="Y99" s="509"/>
      <c r="Z99" s="509"/>
      <c r="AA99" s="509"/>
      <c r="AB99" s="509"/>
      <c r="AC99" s="509"/>
      <c r="AD99" s="509"/>
      <c r="AE99" s="510"/>
      <c r="AF99" s="510"/>
    </row>
    <row r="100" spans="1:32" s="59" customFormat="1" ht="13.8" x14ac:dyDescent="0.25">
      <c r="A100" s="509"/>
      <c r="B100" s="509"/>
      <c r="C100" s="509"/>
      <c r="D100" s="509"/>
      <c r="E100" s="509"/>
      <c r="F100" s="509"/>
      <c r="G100" s="509"/>
      <c r="H100" s="509"/>
      <c r="I100" s="509"/>
      <c r="J100" s="509"/>
      <c r="K100" s="509"/>
      <c r="L100" s="509"/>
      <c r="M100" s="509"/>
      <c r="N100" s="509"/>
      <c r="O100" s="509"/>
      <c r="P100" s="509"/>
      <c r="Q100" s="509"/>
      <c r="R100" s="509"/>
      <c r="S100" s="509"/>
      <c r="T100" s="509"/>
      <c r="U100" s="509"/>
      <c r="V100" s="509"/>
      <c r="W100" s="509"/>
      <c r="X100" s="509"/>
      <c r="Y100" s="509"/>
      <c r="Z100" s="509"/>
      <c r="AA100" s="509"/>
      <c r="AB100" s="509"/>
      <c r="AC100" s="509"/>
      <c r="AD100" s="509"/>
      <c r="AE100" s="510"/>
      <c r="AF100" s="510"/>
    </row>
    <row r="101" spans="1:32" s="59" customFormat="1" ht="13.8" x14ac:dyDescent="0.25">
      <c r="A101" s="509"/>
      <c r="B101" s="509"/>
      <c r="C101" s="509"/>
      <c r="D101" s="509"/>
      <c r="E101" s="509"/>
      <c r="F101" s="509"/>
      <c r="G101" s="509"/>
      <c r="H101" s="509"/>
      <c r="I101" s="509"/>
      <c r="J101" s="509"/>
      <c r="K101" s="509"/>
      <c r="L101" s="509"/>
      <c r="M101" s="509"/>
      <c r="N101" s="509"/>
      <c r="O101" s="509"/>
      <c r="P101" s="509"/>
      <c r="Q101" s="509"/>
      <c r="R101" s="509"/>
      <c r="S101" s="509"/>
      <c r="T101" s="509"/>
      <c r="U101" s="509"/>
      <c r="V101" s="509"/>
      <c r="W101" s="509"/>
      <c r="X101" s="509"/>
      <c r="Y101" s="509"/>
      <c r="Z101" s="509"/>
      <c r="AA101" s="509"/>
      <c r="AB101" s="509"/>
      <c r="AC101" s="509"/>
      <c r="AD101" s="509"/>
      <c r="AE101" s="417"/>
      <c r="AF101" s="510"/>
    </row>
    <row r="102" spans="1:32" s="59" customFormat="1" ht="13.8" x14ac:dyDescent="0.25">
      <c r="B102" s="60"/>
      <c r="C102" s="438" t="s">
        <v>3989</v>
      </c>
      <c r="D102" s="544" t="s">
        <v>3990</v>
      </c>
      <c r="E102" s="544"/>
      <c r="F102" s="544"/>
      <c r="G102" s="544"/>
      <c r="H102" s="544"/>
      <c r="I102" s="544"/>
      <c r="T102" s="60"/>
      <c r="U102" s="60"/>
    </row>
    <row r="103" spans="1:32" s="59" customFormat="1" ht="13.95" customHeight="1" x14ac:dyDescent="0.25">
      <c r="B103" s="60"/>
      <c r="C103" s="438" t="s">
        <v>3987</v>
      </c>
      <c r="D103" s="553" t="s">
        <v>3988</v>
      </c>
      <c r="E103" s="553"/>
      <c r="F103" s="553"/>
      <c r="G103" s="553"/>
      <c r="H103" s="553"/>
      <c r="I103" s="553"/>
      <c r="T103" s="60"/>
      <c r="U103" s="60"/>
    </row>
    <row r="104" spans="1:32" s="59" customFormat="1" ht="14.4" customHeight="1" x14ac:dyDescent="0.25">
      <c r="T104" s="60"/>
      <c r="U104" s="60"/>
    </row>
    <row r="105" spans="1:32" s="59" customFormat="1" ht="13.8" x14ac:dyDescent="0.25">
      <c r="A105" s="469"/>
      <c r="B105" s="743" t="s">
        <v>3984</v>
      </c>
      <c r="C105" s="743"/>
      <c r="D105" s="743"/>
      <c r="E105" s="743"/>
      <c r="F105" s="743"/>
      <c r="G105" s="743"/>
      <c r="H105" s="743"/>
      <c r="I105" s="743"/>
      <c r="T105" s="304"/>
      <c r="U105" s="304"/>
    </row>
  </sheetData>
  <mergeCells count="163">
    <mergeCell ref="D99:F99"/>
    <mergeCell ref="D102:I102"/>
    <mergeCell ref="D103:I103"/>
    <mergeCell ref="B105:I105"/>
    <mergeCell ref="A83:A84"/>
    <mergeCell ref="B83:B84"/>
    <mergeCell ref="E83:E84"/>
    <mergeCell ref="F83:F84"/>
    <mergeCell ref="G83:G84"/>
    <mergeCell ref="T83:T84"/>
    <mergeCell ref="A81:A82"/>
    <mergeCell ref="B81:B82"/>
    <mergeCell ref="E81:E82"/>
    <mergeCell ref="F81:F82"/>
    <mergeCell ref="G81:G82"/>
    <mergeCell ref="T81:T82"/>
    <mergeCell ref="A79:A80"/>
    <mergeCell ref="B79:B80"/>
    <mergeCell ref="E79:E80"/>
    <mergeCell ref="F79:F80"/>
    <mergeCell ref="G79:G80"/>
    <mergeCell ref="T79:T80"/>
    <mergeCell ref="A75:A77"/>
    <mergeCell ref="B75:B77"/>
    <mergeCell ref="E75:E77"/>
    <mergeCell ref="F75:F77"/>
    <mergeCell ref="G75:G77"/>
    <mergeCell ref="T75:T77"/>
    <mergeCell ref="A73:A74"/>
    <mergeCell ref="B73:B74"/>
    <mergeCell ref="E73:E74"/>
    <mergeCell ref="F73:F74"/>
    <mergeCell ref="G73:G74"/>
    <mergeCell ref="T73:T74"/>
    <mergeCell ref="A66:A72"/>
    <mergeCell ref="B66:B72"/>
    <mergeCell ref="E66:E72"/>
    <mergeCell ref="F66:F72"/>
    <mergeCell ref="G66:G72"/>
    <mergeCell ref="T66:T72"/>
    <mergeCell ref="A62:A64"/>
    <mergeCell ref="B62:B64"/>
    <mergeCell ref="E62:E64"/>
    <mergeCell ref="F62:F64"/>
    <mergeCell ref="G62:G64"/>
    <mergeCell ref="T62:T64"/>
    <mergeCell ref="A60:A61"/>
    <mergeCell ref="B60:B61"/>
    <mergeCell ref="E60:E61"/>
    <mergeCell ref="F60:F61"/>
    <mergeCell ref="G60:G61"/>
    <mergeCell ref="T60:T61"/>
    <mergeCell ref="U53:U54"/>
    <mergeCell ref="A58:A59"/>
    <mergeCell ref="B58:B59"/>
    <mergeCell ref="E58:E59"/>
    <mergeCell ref="F58:F59"/>
    <mergeCell ref="G58:G59"/>
    <mergeCell ref="T58:T59"/>
    <mergeCell ref="A53:A54"/>
    <mergeCell ref="B53:B54"/>
    <mergeCell ref="E53:E54"/>
    <mergeCell ref="F53:F54"/>
    <mergeCell ref="G53:G54"/>
    <mergeCell ref="T53:T54"/>
    <mergeCell ref="A47:A51"/>
    <mergeCell ref="B47:B51"/>
    <mergeCell ref="E47:E51"/>
    <mergeCell ref="F47:F51"/>
    <mergeCell ref="G47:G51"/>
    <mergeCell ref="T47:T51"/>
    <mergeCell ref="A43:A45"/>
    <mergeCell ref="B43:B45"/>
    <mergeCell ref="E43:E45"/>
    <mergeCell ref="F43:F45"/>
    <mergeCell ref="G43:G45"/>
    <mergeCell ref="T43:T45"/>
    <mergeCell ref="T35:T37"/>
    <mergeCell ref="A40:A41"/>
    <mergeCell ref="B40:B41"/>
    <mergeCell ref="E40:E41"/>
    <mergeCell ref="F40:F41"/>
    <mergeCell ref="G40:G41"/>
    <mergeCell ref="T40:T41"/>
    <mergeCell ref="A29:A34"/>
    <mergeCell ref="B29:B34"/>
    <mergeCell ref="E29:E34"/>
    <mergeCell ref="F29:F34"/>
    <mergeCell ref="T29:T34"/>
    <mergeCell ref="A35:A37"/>
    <mergeCell ref="B35:B37"/>
    <mergeCell ref="E35:E37"/>
    <mergeCell ref="F35:F37"/>
    <mergeCell ref="G35:G37"/>
    <mergeCell ref="A25:A26"/>
    <mergeCell ref="B25:B26"/>
    <mergeCell ref="E25:E26"/>
    <mergeCell ref="T25:T26"/>
    <mergeCell ref="A27:A28"/>
    <mergeCell ref="B27:B28"/>
    <mergeCell ref="E27:E28"/>
    <mergeCell ref="F27:F28"/>
    <mergeCell ref="G27:G28"/>
    <mergeCell ref="T27:T28"/>
    <mergeCell ref="A23:A24"/>
    <mergeCell ref="B23:B24"/>
    <mergeCell ref="E23:E24"/>
    <mergeCell ref="F23:F24"/>
    <mergeCell ref="G23:G24"/>
    <mergeCell ref="T23:T24"/>
    <mergeCell ref="A20:A21"/>
    <mergeCell ref="B20:B21"/>
    <mergeCell ref="E20:E21"/>
    <mergeCell ref="F20:F21"/>
    <mergeCell ref="G20:G21"/>
    <mergeCell ref="T20:T21"/>
    <mergeCell ref="A17:A19"/>
    <mergeCell ref="B17:B19"/>
    <mergeCell ref="E17:E19"/>
    <mergeCell ref="F17:F19"/>
    <mergeCell ref="G17:G19"/>
    <mergeCell ref="T17:T19"/>
    <mergeCell ref="A15:A16"/>
    <mergeCell ref="B15:B16"/>
    <mergeCell ref="E15:E16"/>
    <mergeCell ref="F15:F16"/>
    <mergeCell ref="G15:G16"/>
    <mergeCell ref="T15:T16"/>
    <mergeCell ref="T7:T9"/>
    <mergeCell ref="A13:A14"/>
    <mergeCell ref="B13:B14"/>
    <mergeCell ref="E13:E14"/>
    <mergeCell ref="F13:F14"/>
    <mergeCell ref="G13:G14"/>
    <mergeCell ref="T13:T14"/>
    <mergeCell ref="N4:N5"/>
    <mergeCell ref="O4:O5"/>
    <mergeCell ref="P4:P5"/>
    <mergeCell ref="Q4:Q5"/>
    <mergeCell ref="R4:R5"/>
    <mergeCell ref="A7:A9"/>
    <mergeCell ref="B7:B9"/>
    <mergeCell ref="E7:E9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53"/>
  <sheetViews>
    <sheetView workbookViewId="0">
      <selection activeCell="B16" sqref="B16"/>
    </sheetView>
  </sheetViews>
  <sheetFormatPr defaultColWidth="8.88671875" defaultRowHeight="13.8" x14ac:dyDescent="0.25"/>
  <cols>
    <col min="1" max="1" width="15.5546875" style="59" bestFit="1" customWidth="1"/>
    <col min="2" max="2" width="36.5546875" style="60" bestFit="1" customWidth="1"/>
    <col min="3" max="3" width="9.6640625" style="59" bestFit="1" customWidth="1"/>
    <col min="4" max="4" width="10.5546875" style="59" bestFit="1" customWidth="1"/>
    <col min="5" max="5" width="11.21875" style="59" bestFit="1" customWidth="1"/>
    <col min="6" max="6" width="9.77734375" style="506" bestFit="1" customWidth="1"/>
    <col min="7" max="7" width="11.6640625" style="59" bestFit="1" customWidth="1"/>
    <col min="8" max="8" width="10" style="59" bestFit="1" customWidth="1"/>
    <col min="9" max="9" width="14.77734375" style="59" customWidth="1"/>
    <col min="10" max="10" width="10.44140625" style="59" bestFit="1" customWidth="1"/>
    <col min="11" max="11" width="10.21875" style="59" bestFit="1" customWidth="1"/>
    <col min="12" max="12" width="9.77734375" style="59" bestFit="1" customWidth="1"/>
    <col min="13" max="13" width="11.77734375" style="59" bestFit="1" customWidth="1"/>
    <col min="14" max="14" width="11.88671875" style="59" customWidth="1"/>
    <col min="15" max="15" width="12.21875" style="59" customWidth="1"/>
    <col min="16" max="16" width="9" style="59" bestFit="1" customWidth="1"/>
    <col min="17" max="17" width="10.21875" style="59" bestFit="1" customWidth="1"/>
    <col min="18" max="18" width="15" style="59" customWidth="1"/>
    <col min="19" max="19" width="20.88671875" style="59" customWidth="1"/>
    <col min="20" max="21" width="21" style="60" customWidth="1"/>
    <col min="22" max="22" width="8.88671875" style="59"/>
    <col min="23" max="23" width="11.33203125" style="59" customWidth="1"/>
    <col min="24" max="27" width="8.88671875" style="59"/>
    <col min="28" max="28" width="11.33203125" style="59" customWidth="1"/>
    <col min="29" max="16384" width="8.88671875" style="59"/>
  </cols>
  <sheetData>
    <row r="1" spans="1:21" ht="18" thickBot="1" x14ac:dyDescent="0.3">
      <c r="A1" s="589" t="s">
        <v>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499"/>
      <c r="U1" s="499"/>
    </row>
    <row r="2" spans="1:21" ht="14.4" thickBot="1" x14ac:dyDescent="0.3">
      <c r="A2" s="590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598" t="s">
        <v>5</v>
      </c>
      <c r="T2" s="587" t="s">
        <v>6</v>
      </c>
      <c r="U2" s="622" t="s">
        <v>7</v>
      </c>
    </row>
    <row r="3" spans="1:21" ht="29.4" customHeight="1" thickBot="1" x14ac:dyDescent="0.3">
      <c r="A3" s="591"/>
      <c r="B3" s="593"/>
      <c r="C3" s="625" t="s">
        <v>8</v>
      </c>
      <c r="D3" s="626"/>
      <c r="E3" s="626"/>
      <c r="F3" s="627"/>
      <c r="G3" s="601"/>
      <c r="H3" s="628" t="s">
        <v>9</v>
      </c>
      <c r="I3" s="627"/>
      <c r="J3" s="627"/>
      <c r="K3" s="626"/>
      <c r="L3" s="626"/>
      <c r="M3" s="626"/>
      <c r="N3" s="626"/>
      <c r="O3" s="629"/>
      <c r="P3" s="625" t="s">
        <v>10</v>
      </c>
      <c r="Q3" s="629"/>
      <c r="R3" s="597"/>
      <c r="S3" s="599"/>
      <c r="T3" s="588"/>
      <c r="U3" s="623"/>
    </row>
    <row r="4" spans="1:21" ht="14.4" thickBot="1" x14ac:dyDescent="0.3">
      <c r="A4" s="591"/>
      <c r="B4" s="593"/>
      <c r="C4" s="625" t="s">
        <v>11</v>
      </c>
      <c r="D4" s="629"/>
      <c r="E4" s="628" t="s">
        <v>12</v>
      </c>
      <c r="F4" s="583" t="s">
        <v>13</v>
      </c>
      <c r="G4" s="585" t="s">
        <v>14</v>
      </c>
      <c r="H4" s="587" t="s">
        <v>15</v>
      </c>
      <c r="I4" s="595" t="s">
        <v>16</v>
      </c>
      <c r="J4" s="600"/>
      <c r="K4" s="601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599"/>
      <c r="T4" s="588"/>
      <c r="U4" s="623"/>
    </row>
    <row r="5" spans="1:21" ht="51" customHeight="1" thickBot="1" x14ac:dyDescent="0.3">
      <c r="A5" s="591"/>
      <c r="B5" s="593"/>
      <c r="C5" s="2" t="s">
        <v>22</v>
      </c>
      <c r="D5" s="2" t="s">
        <v>23</v>
      </c>
      <c r="E5" s="630"/>
      <c r="F5" s="584"/>
      <c r="G5" s="586"/>
      <c r="H5" s="588"/>
      <c r="I5" s="2" t="s">
        <v>24</v>
      </c>
      <c r="J5" s="338" t="s">
        <v>25</v>
      </c>
      <c r="K5" s="602"/>
      <c r="L5" s="593"/>
      <c r="M5" s="593"/>
      <c r="N5" s="593"/>
      <c r="O5" s="593"/>
      <c r="P5" s="593"/>
      <c r="Q5" s="593"/>
      <c r="R5" s="593"/>
      <c r="S5" s="599"/>
      <c r="T5" s="588"/>
      <c r="U5" s="624"/>
    </row>
    <row r="6" spans="1:21" s="138" customFormat="1" ht="12.6" thickBot="1" x14ac:dyDescent="0.3">
      <c r="A6" s="500" t="s">
        <v>26</v>
      </c>
      <c r="B6" s="3">
        <v>2</v>
      </c>
      <c r="C6" s="3">
        <v>3</v>
      </c>
      <c r="D6" s="3">
        <v>4</v>
      </c>
      <c r="E6" s="3">
        <v>5</v>
      </c>
      <c r="F6" s="4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5">
        <v>21</v>
      </c>
    </row>
    <row r="7" spans="1:21" x14ac:dyDescent="0.25">
      <c r="A7" s="617" t="s">
        <v>27</v>
      </c>
      <c r="B7" s="618" t="s">
        <v>28</v>
      </c>
      <c r="C7" s="7">
        <v>0</v>
      </c>
      <c r="D7" s="7">
        <v>0.48</v>
      </c>
      <c r="E7" s="619">
        <v>0.88</v>
      </c>
      <c r="F7" s="501">
        <v>2734</v>
      </c>
      <c r="G7" s="502" t="s">
        <v>51</v>
      </c>
      <c r="H7" s="502"/>
      <c r="I7" s="502"/>
      <c r="J7" s="502"/>
      <c r="K7" s="502"/>
      <c r="L7" s="502"/>
      <c r="M7" s="502"/>
      <c r="N7" s="502"/>
      <c r="O7" s="502"/>
      <c r="P7" s="502">
        <v>668</v>
      </c>
      <c r="Q7" s="502">
        <v>396</v>
      </c>
      <c r="R7" s="620">
        <v>70420060493</v>
      </c>
      <c r="S7" s="620" t="s">
        <v>30</v>
      </c>
      <c r="T7" s="632" t="s">
        <v>31</v>
      </c>
      <c r="U7" s="635"/>
    </row>
    <row r="8" spans="1:21" x14ac:dyDescent="0.25">
      <c r="A8" s="605"/>
      <c r="B8" s="608"/>
      <c r="C8" s="10">
        <v>0.48</v>
      </c>
      <c r="D8" s="10">
        <v>0.84</v>
      </c>
      <c r="E8" s="611"/>
      <c r="F8" s="614">
        <v>2000</v>
      </c>
      <c r="G8" s="616" t="s">
        <v>32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621"/>
      <c r="S8" s="621"/>
      <c r="T8" s="633"/>
      <c r="U8" s="636"/>
    </row>
    <row r="9" spans="1:21" ht="51" customHeight="1" thickBot="1" x14ac:dyDescent="0.3">
      <c r="A9" s="606"/>
      <c r="B9" s="609"/>
      <c r="C9" s="16">
        <v>0.84</v>
      </c>
      <c r="D9" s="16">
        <v>0.88</v>
      </c>
      <c r="E9" s="612"/>
      <c r="F9" s="638"/>
      <c r="G9" s="639"/>
      <c r="H9" s="18"/>
      <c r="I9" s="18"/>
      <c r="J9" s="18"/>
      <c r="K9" s="18"/>
      <c r="L9" s="18"/>
      <c r="M9" s="18"/>
      <c r="N9" s="18"/>
      <c r="O9" s="18"/>
      <c r="P9" s="18"/>
      <c r="Q9" s="18"/>
      <c r="R9" s="19">
        <v>70420060558</v>
      </c>
      <c r="S9" s="631"/>
      <c r="T9" s="634"/>
      <c r="U9" s="637"/>
    </row>
    <row r="10" spans="1:21" ht="60.6" thickBot="1" x14ac:dyDescent="0.3">
      <c r="A10" s="22" t="s">
        <v>33</v>
      </c>
      <c r="B10" s="23" t="s">
        <v>34</v>
      </c>
      <c r="C10" s="24">
        <v>0</v>
      </c>
      <c r="D10" s="24">
        <v>0.11</v>
      </c>
      <c r="E10" s="24">
        <v>0.11</v>
      </c>
      <c r="F10" s="25">
        <v>660</v>
      </c>
      <c r="G10" s="26" t="s">
        <v>51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7">
        <v>70420060494</v>
      </c>
      <c r="S10" s="27" t="s">
        <v>30</v>
      </c>
      <c r="T10" s="3" t="s">
        <v>31</v>
      </c>
      <c r="U10" s="5"/>
    </row>
    <row r="11" spans="1:21" x14ac:dyDescent="0.25">
      <c r="A11" s="604" t="s">
        <v>35</v>
      </c>
      <c r="B11" s="607" t="s">
        <v>36</v>
      </c>
      <c r="C11" s="30">
        <v>0</v>
      </c>
      <c r="D11" s="30">
        <v>0.06</v>
      </c>
      <c r="E11" s="610">
        <v>0.193</v>
      </c>
      <c r="F11" s="613">
        <v>665</v>
      </c>
      <c r="G11" s="615" t="s">
        <v>51</v>
      </c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3">
        <v>70420060498</v>
      </c>
      <c r="S11" s="640" t="s">
        <v>30</v>
      </c>
      <c r="T11" s="641" t="s">
        <v>31</v>
      </c>
      <c r="U11" s="642"/>
    </row>
    <row r="12" spans="1:21" ht="73.5" customHeight="1" thickBot="1" x14ac:dyDescent="0.3">
      <c r="A12" s="606"/>
      <c r="B12" s="609"/>
      <c r="C12" s="16">
        <v>0.06</v>
      </c>
      <c r="D12" s="16">
        <v>0.193</v>
      </c>
      <c r="E12" s="612"/>
      <c r="F12" s="638"/>
      <c r="G12" s="639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20" t="s">
        <v>37</v>
      </c>
      <c r="S12" s="631"/>
      <c r="T12" s="634"/>
      <c r="U12" s="637"/>
    </row>
    <row r="13" spans="1:21" ht="104.25" customHeight="1" thickBot="1" x14ac:dyDescent="0.3">
      <c r="A13" s="22" t="s">
        <v>38</v>
      </c>
      <c r="B13" s="23" t="s">
        <v>39</v>
      </c>
      <c r="C13" s="24">
        <v>0</v>
      </c>
      <c r="D13" s="24">
        <v>0.62</v>
      </c>
      <c r="E13" s="24">
        <v>0.62</v>
      </c>
      <c r="F13" s="25">
        <v>3720</v>
      </c>
      <c r="G13" s="26" t="s">
        <v>32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7">
        <v>70420050237</v>
      </c>
      <c r="S13" s="27" t="s">
        <v>40</v>
      </c>
      <c r="T13" s="3" t="s">
        <v>31</v>
      </c>
      <c r="U13" s="5"/>
    </row>
    <row r="14" spans="1:21" ht="60.6" thickBot="1" x14ac:dyDescent="0.3">
      <c r="A14" s="22" t="s">
        <v>41</v>
      </c>
      <c r="B14" s="23" t="s">
        <v>42</v>
      </c>
      <c r="C14" s="24">
        <v>0</v>
      </c>
      <c r="D14" s="24">
        <v>0.4</v>
      </c>
      <c r="E14" s="24">
        <v>0.4</v>
      </c>
      <c r="F14" s="25">
        <v>2400</v>
      </c>
      <c r="G14" s="26" t="s">
        <v>32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7">
        <v>70420050238</v>
      </c>
      <c r="S14" s="27" t="s">
        <v>40</v>
      </c>
      <c r="T14" s="3" t="s">
        <v>31</v>
      </c>
      <c r="U14" s="5"/>
    </row>
    <row r="15" spans="1:21" ht="60.6" thickBot="1" x14ac:dyDescent="0.3">
      <c r="A15" s="22" t="s">
        <v>43</v>
      </c>
      <c r="B15" s="23" t="s">
        <v>44</v>
      </c>
      <c r="C15" s="24">
        <v>0</v>
      </c>
      <c r="D15" s="24">
        <v>0.51</v>
      </c>
      <c r="E15" s="24">
        <v>0.51</v>
      </c>
      <c r="F15" s="25">
        <v>1785</v>
      </c>
      <c r="G15" s="26" t="s">
        <v>51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7">
        <v>70420060497</v>
      </c>
      <c r="S15" s="27" t="s">
        <v>30</v>
      </c>
      <c r="T15" s="3" t="s">
        <v>31</v>
      </c>
      <c r="U15" s="5"/>
    </row>
    <row r="16" spans="1:21" ht="60.6" thickBot="1" x14ac:dyDescent="0.3">
      <c r="A16" s="22" t="s">
        <v>45</v>
      </c>
      <c r="B16" s="23" t="s">
        <v>46</v>
      </c>
      <c r="C16" s="24">
        <v>0</v>
      </c>
      <c r="D16" s="24">
        <v>0.21</v>
      </c>
      <c r="E16" s="24">
        <v>0.21</v>
      </c>
      <c r="F16" s="25">
        <v>695</v>
      </c>
      <c r="G16" s="26" t="s">
        <v>51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7">
        <v>70420060500</v>
      </c>
      <c r="S16" s="27" t="s">
        <v>30</v>
      </c>
      <c r="T16" s="3" t="s">
        <v>31</v>
      </c>
      <c r="U16" s="5"/>
    </row>
    <row r="17" spans="1:21" ht="60.6" thickBot="1" x14ac:dyDescent="0.3">
      <c r="A17" s="22" t="s">
        <v>47</v>
      </c>
      <c r="B17" s="23" t="s">
        <v>48</v>
      </c>
      <c r="C17" s="24">
        <v>0</v>
      </c>
      <c r="D17" s="24">
        <v>0.44</v>
      </c>
      <c r="E17" s="24">
        <v>0.44</v>
      </c>
      <c r="F17" s="25">
        <v>2500</v>
      </c>
      <c r="G17" s="26" t="s">
        <v>32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7">
        <v>70420060648</v>
      </c>
      <c r="S17" s="27" t="s">
        <v>30</v>
      </c>
      <c r="T17" s="3" t="s">
        <v>31</v>
      </c>
      <c r="U17" s="5"/>
    </row>
    <row r="18" spans="1:21" x14ac:dyDescent="0.25">
      <c r="A18" s="604" t="s">
        <v>49</v>
      </c>
      <c r="B18" s="607" t="s">
        <v>50</v>
      </c>
      <c r="C18" s="610">
        <v>0</v>
      </c>
      <c r="D18" s="610">
        <v>0.2</v>
      </c>
      <c r="E18" s="610">
        <v>0.46</v>
      </c>
      <c r="F18" s="613">
        <v>900</v>
      </c>
      <c r="G18" s="615" t="s">
        <v>51</v>
      </c>
      <c r="H18" s="32"/>
      <c r="I18" s="32"/>
      <c r="J18" s="32"/>
      <c r="K18" s="32"/>
      <c r="L18" s="32"/>
      <c r="M18" s="32"/>
      <c r="N18" s="32"/>
      <c r="O18" s="32"/>
      <c r="P18" s="32"/>
      <c r="Q18" s="36"/>
      <c r="R18" s="33">
        <v>70420050296</v>
      </c>
      <c r="S18" s="640" t="s">
        <v>40</v>
      </c>
      <c r="T18" s="641" t="s">
        <v>31</v>
      </c>
      <c r="U18" s="642"/>
    </row>
    <row r="19" spans="1:21" x14ac:dyDescent="0.25">
      <c r="A19" s="605"/>
      <c r="B19" s="608"/>
      <c r="C19" s="611"/>
      <c r="D19" s="611"/>
      <c r="E19" s="611"/>
      <c r="F19" s="614"/>
      <c r="G19" s="616"/>
      <c r="H19" s="12"/>
      <c r="I19" s="12"/>
      <c r="J19" s="12"/>
      <c r="K19" s="12"/>
      <c r="L19" s="12"/>
      <c r="M19" s="12"/>
      <c r="N19" s="12"/>
      <c r="O19" s="12"/>
      <c r="P19" s="12"/>
      <c r="Q19" s="37"/>
      <c r="R19" s="14" t="s">
        <v>52</v>
      </c>
      <c r="S19" s="621"/>
      <c r="T19" s="633"/>
      <c r="U19" s="636"/>
    </row>
    <row r="20" spans="1:21" x14ac:dyDescent="0.25">
      <c r="A20" s="605"/>
      <c r="B20" s="608"/>
      <c r="C20" s="611"/>
      <c r="D20" s="611"/>
      <c r="E20" s="611"/>
      <c r="F20" s="614"/>
      <c r="G20" s="616"/>
      <c r="H20" s="12"/>
      <c r="I20" s="12"/>
      <c r="J20" s="12"/>
      <c r="K20" s="12"/>
      <c r="L20" s="12"/>
      <c r="M20" s="12"/>
      <c r="N20" s="12"/>
      <c r="O20" s="12"/>
      <c r="P20" s="12"/>
      <c r="Q20" s="37"/>
      <c r="R20" s="14" t="s">
        <v>53</v>
      </c>
      <c r="S20" s="621"/>
      <c r="T20" s="633"/>
      <c r="U20" s="636"/>
    </row>
    <row r="21" spans="1:21" x14ac:dyDescent="0.25">
      <c r="A21" s="605"/>
      <c r="B21" s="608"/>
      <c r="C21" s="611"/>
      <c r="D21" s="611"/>
      <c r="E21" s="611"/>
      <c r="F21" s="614"/>
      <c r="G21" s="616"/>
      <c r="H21" s="12"/>
      <c r="I21" s="12"/>
      <c r="J21" s="12"/>
      <c r="K21" s="12"/>
      <c r="L21" s="12"/>
      <c r="M21" s="12"/>
      <c r="N21" s="12"/>
      <c r="O21" s="12"/>
      <c r="P21" s="12"/>
      <c r="Q21" s="37"/>
      <c r="R21" s="14" t="s">
        <v>54</v>
      </c>
      <c r="S21" s="621"/>
      <c r="T21" s="633"/>
      <c r="U21" s="636"/>
    </row>
    <row r="22" spans="1:21" x14ac:dyDescent="0.25">
      <c r="A22" s="605"/>
      <c r="B22" s="608"/>
      <c r="C22" s="611"/>
      <c r="D22" s="611"/>
      <c r="E22" s="611"/>
      <c r="F22" s="614"/>
      <c r="G22" s="616"/>
      <c r="H22" s="12"/>
      <c r="I22" s="12"/>
      <c r="J22" s="12"/>
      <c r="K22" s="12"/>
      <c r="L22" s="12"/>
      <c r="M22" s="12"/>
      <c r="N22" s="12"/>
      <c r="O22" s="12"/>
      <c r="P22" s="12"/>
      <c r="Q22" s="37"/>
      <c r="R22" s="14" t="s">
        <v>55</v>
      </c>
      <c r="S22" s="621"/>
      <c r="T22" s="633"/>
      <c r="U22" s="636"/>
    </row>
    <row r="23" spans="1:21" x14ac:dyDescent="0.25">
      <c r="A23" s="605"/>
      <c r="B23" s="608"/>
      <c r="C23" s="611"/>
      <c r="D23" s="611"/>
      <c r="E23" s="611"/>
      <c r="F23" s="614"/>
      <c r="G23" s="616"/>
      <c r="H23" s="12"/>
      <c r="I23" s="12"/>
      <c r="J23" s="12"/>
      <c r="K23" s="12"/>
      <c r="L23" s="12"/>
      <c r="M23" s="12"/>
      <c r="N23" s="12"/>
      <c r="O23" s="12"/>
      <c r="P23" s="12"/>
      <c r="Q23" s="37"/>
      <c r="R23" s="14" t="s">
        <v>56</v>
      </c>
      <c r="S23" s="621"/>
      <c r="T23" s="633"/>
      <c r="U23" s="636"/>
    </row>
    <row r="24" spans="1:21" x14ac:dyDescent="0.25">
      <c r="A24" s="605"/>
      <c r="B24" s="608"/>
      <c r="C24" s="611"/>
      <c r="D24" s="611"/>
      <c r="E24" s="611"/>
      <c r="F24" s="614"/>
      <c r="G24" s="616"/>
      <c r="H24" s="12"/>
      <c r="I24" s="12"/>
      <c r="J24" s="12"/>
      <c r="K24" s="12"/>
      <c r="L24" s="12"/>
      <c r="M24" s="12"/>
      <c r="N24" s="12"/>
      <c r="O24" s="12"/>
      <c r="P24" s="12"/>
      <c r="Q24" s="37"/>
      <c r="R24" s="14" t="s">
        <v>57</v>
      </c>
      <c r="S24" s="621"/>
      <c r="T24" s="633"/>
      <c r="U24" s="636"/>
    </row>
    <row r="25" spans="1:21" x14ac:dyDescent="0.25">
      <c r="A25" s="605"/>
      <c r="B25" s="608"/>
      <c r="C25" s="611">
        <v>0.2</v>
      </c>
      <c r="D25" s="611">
        <v>0.46</v>
      </c>
      <c r="E25" s="611"/>
      <c r="F25" s="614">
        <v>1170</v>
      </c>
      <c r="G25" s="616" t="s">
        <v>32</v>
      </c>
      <c r="H25" s="12"/>
      <c r="I25" s="12"/>
      <c r="J25" s="12"/>
      <c r="K25" s="12"/>
      <c r="L25" s="12"/>
      <c r="M25" s="12"/>
      <c r="N25" s="12"/>
      <c r="O25" s="12"/>
      <c r="P25" s="12"/>
      <c r="Q25" s="37"/>
      <c r="R25" s="14" t="s">
        <v>58</v>
      </c>
      <c r="S25" s="621"/>
      <c r="T25" s="633"/>
      <c r="U25" s="636"/>
    </row>
    <row r="26" spans="1:21" x14ac:dyDescent="0.25">
      <c r="A26" s="605"/>
      <c r="B26" s="608"/>
      <c r="C26" s="611"/>
      <c r="D26" s="611"/>
      <c r="E26" s="611"/>
      <c r="F26" s="614"/>
      <c r="G26" s="616"/>
      <c r="H26" s="12"/>
      <c r="I26" s="12"/>
      <c r="J26" s="12"/>
      <c r="K26" s="12"/>
      <c r="L26" s="12"/>
      <c r="M26" s="12"/>
      <c r="N26" s="12"/>
      <c r="O26" s="12"/>
      <c r="P26" s="12"/>
      <c r="Q26" s="37"/>
      <c r="R26" s="14" t="s">
        <v>59</v>
      </c>
      <c r="S26" s="621"/>
      <c r="T26" s="633"/>
      <c r="U26" s="636"/>
    </row>
    <row r="27" spans="1:21" x14ac:dyDescent="0.25">
      <c r="A27" s="605"/>
      <c r="B27" s="608"/>
      <c r="C27" s="611"/>
      <c r="D27" s="611"/>
      <c r="E27" s="611"/>
      <c r="F27" s="614"/>
      <c r="G27" s="616"/>
      <c r="H27" s="12"/>
      <c r="I27" s="12"/>
      <c r="J27" s="12"/>
      <c r="K27" s="12"/>
      <c r="L27" s="12"/>
      <c r="M27" s="12"/>
      <c r="N27" s="12"/>
      <c r="O27" s="12"/>
      <c r="P27" s="12"/>
      <c r="Q27" s="37"/>
      <c r="R27" s="14" t="s">
        <v>60</v>
      </c>
      <c r="S27" s="621"/>
      <c r="T27" s="633"/>
      <c r="U27" s="636"/>
    </row>
    <row r="28" spans="1:21" x14ac:dyDescent="0.25">
      <c r="A28" s="605"/>
      <c r="B28" s="608"/>
      <c r="C28" s="611"/>
      <c r="D28" s="611"/>
      <c r="E28" s="611"/>
      <c r="F28" s="614"/>
      <c r="G28" s="616"/>
      <c r="H28" s="12"/>
      <c r="I28" s="12"/>
      <c r="J28" s="12"/>
      <c r="K28" s="12"/>
      <c r="L28" s="12"/>
      <c r="M28" s="12"/>
      <c r="N28" s="12"/>
      <c r="O28" s="12"/>
      <c r="P28" s="12"/>
      <c r="Q28" s="37"/>
      <c r="R28" s="14" t="s">
        <v>61</v>
      </c>
      <c r="S28" s="621"/>
      <c r="T28" s="633"/>
      <c r="U28" s="636"/>
    </row>
    <row r="29" spans="1:21" x14ac:dyDescent="0.25">
      <c r="A29" s="605"/>
      <c r="B29" s="608"/>
      <c r="C29" s="611"/>
      <c r="D29" s="611"/>
      <c r="E29" s="611"/>
      <c r="F29" s="614"/>
      <c r="G29" s="616"/>
      <c r="H29" s="12"/>
      <c r="I29" s="12"/>
      <c r="J29" s="12"/>
      <c r="K29" s="12"/>
      <c r="L29" s="12"/>
      <c r="M29" s="12"/>
      <c r="N29" s="12"/>
      <c r="O29" s="12"/>
      <c r="P29" s="12"/>
      <c r="Q29" s="37"/>
      <c r="R29" s="14" t="s">
        <v>62</v>
      </c>
      <c r="S29" s="621"/>
      <c r="T29" s="633"/>
      <c r="U29" s="636"/>
    </row>
    <row r="30" spans="1:21" ht="14.4" thickBot="1" x14ac:dyDescent="0.3">
      <c r="A30" s="606"/>
      <c r="B30" s="609"/>
      <c r="C30" s="612"/>
      <c r="D30" s="612"/>
      <c r="E30" s="612"/>
      <c r="F30" s="638"/>
      <c r="G30" s="639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20" t="s">
        <v>63</v>
      </c>
      <c r="S30" s="631"/>
      <c r="T30" s="634"/>
      <c r="U30" s="637"/>
    </row>
    <row r="31" spans="1:21" x14ac:dyDescent="0.25">
      <c r="A31" s="604" t="s">
        <v>64</v>
      </c>
      <c r="B31" s="607" t="s">
        <v>65</v>
      </c>
      <c r="C31" s="610">
        <v>0</v>
      </c>
      <c r="D31" s="610">
        <v>0.34</v>
      </c>
      <c r="E31" s="610">
        <v>0.34</v>
      </c>
      <c r="F31" s="613">
        <v>1360</v>
      </c>
      <c r="G31" s="615" t="s">
        <v>32</v>
      </c>
      <c r="H31" s="32"/>
      <c r="I31" s="36"/>
      <c r="J31" s="32"/>
      <c r="K31" s="32"/>
      <c r="L31" s="32"/>
      <c r="M31" s="32"/>
      <c r="N31" s="32"/>
      <c r="O31" s="32"/>
      <c r="P31" s="32"/>
      <c r="Q31" s="32"/>
      <c r="R31" s="34" t="s">
        <v>66</v>
      </c>
      <c r="S31" s="640" t="s">
        <v>30</v>
      </c>
      <c r="T31" s="641" t="s">
        <v>31</v>
      </c>
      <c r="U31" s="642" t="s">
        <v>67</v>
      </c>
    </row>
    <row r="32" spans="1:21" x14ac:dyDescent="0.25">
      <c r="A32" s="605"/>
      <c r="B32" s="608"/>
      <c r="C32" s="611"/>
      <c r="D32" s="611"/>
      <c r="E32" s="611"/>
      <c r="F32" s="614"/>
      <c r="G32" s="616"/>
      <c r="H32" s="12"/>
      <c r="I32" s="37"/>
      <c r="J32" s="12"/>
      <c r="K32" s="12"/>
      <c r="L32" s="12"/>
      <c r="M32" s="12"/>
      <c r="N32" s="12"/>
      <c r="O32" s="12"/>
      <c r="P32" s="12"/>
      <c r="Q32" s="12"/>
      <c r="R32" s="13">
        <v>70420060484</v>
      </c>
      <c r="S32" s="621"/>
      <c r="T32" s="633"/>
      <c r="U32" s="636"/>
    </row>
    <row r="33" spans="1:21" x14ac:dyDescent="0.25">
      <c r="A33" s="605"/>
      <c r="B33" s="608"/>
      <c r="C33" s="611"/>
      <c r="D33" s="611"/>
      <c r="E33" s="611"/>
      <c r="F33" s="614"/>
      <c r="G33" s="616"/>
      <c r="H33" s="12"/>
      <c r="I33" s="37"/>
      <c r="J33" s="12"/>
      <c r="K33" s="12"/>
      <c r="L33" s="12"/>
      <c r="M33" s="12"/>
      <c r="N33" s="12"/>
      <c r="O33" s="12"/>
      <c r="P33" s="12"/>
      <c r="Q33" s="12"/>
      <c r="R33" s="13" t="s">
        <v>68</v>
      </c>
      <c r="S33" s="621"/>
      <c r="T33" s="633"/>
      <c r="U33" s="636"/>
    </row>
    <row r="34" spans="1:21" x14ac:dyDescent="0.25">
      <c r="A34" s="605"/>
      <c r="B34" s="608"/>
      <c r="C34" s="611"/>
      <c r="D34" s="611"/>
      <c r="E34" s="611"/>
      <c r="F34" s="614"/>
      <c r="G34" s="616"/>
      <c r="H34" s="12"/>
      <c r="I34" s="37"/>
      <c r="J34" s="12"/>
      <c r="K34" s="12"/>
      <c r="L34" s="12"/>
      <c r="M34" s="12"/>
      <c r="N34" s="12"/>
      <c r="O34" s="12"/>
      <c r="P34" s="12"/>
      <c r="Q34" s="12"/>
      <c r="R34" s="13" t="s">
        <v>69</v>
      </c>
      <c r="S34" s="621"/>
      <c r="T34" s="633"/>
      <c r="U34" s="636"/>
    </row>
    <row r="35" spans="1:21" x14ac:dyDescent="0.25">
      <c r="A35" s="605"/>
      <c r="B35" s="608"/>
      <c r="C35" s="611"/>
      <c r="D35" s="611"/>
      <c r="E35" s="611"/>
      <c r="F35" s="614"/>
      <c r="G35" s="616"/>
      <c r="H35" s="12"/>
      <c r="I35" s="37"/>
      <c r="J35" s="12"/>
      <c r="K35" s="12"/>
      <c r="L35" s="12"/>
      <c r="M35" s="12"/>
      <c r="N35" s="12"/>
      <c r="O35" s="12"/>
      <c r="P35" s="12"/>
      <c r="Q35" s="12"/>
      <c r="R35" s="13" t="s">
        <v>70</v>
      </c>
      <c r="S35" s="621"/>
      <c r="T35" s="633"/>
      <c r="U35" s="636"/>
    </row>
    <row r="36" spans="1:21" ht="14.4" thickBot="1" x14ac:dyDescent="0.3">
      <c r="A36" s="606"/>
      <c r="B36" s="609"/>
      <c r="C36" s="612"/>
      <c r="D36" s="612"/>
      <c r="E36" s="612"/>
      <c r="F36" s="638"/>
      <c r="G36" s="639"/>
      <c r="H36" s="18"/>
      <c r="I36" s="38"/>
      <c r="J36" s="18"/>
      <c r="K36" s="18"/>
      <c r="L36" s="18"/>
      <c r="M36" s="18"/>
      <c r="N36" s="18"/>
      <c r="O36" s="18"/>
      <c r="P36" s="18"/>
      <c r="Q36" s="18"/>
      <c r="R36" s="19" t="s">
        <v>71</v>
      </c>
      <c r="S36" s="631"/>
      <c r="T36" s="634"/>
      <c r="U36" s="637"/>
    </row>
    <row r="37" spans="1:21" ht="60.6" thickBot="1" x14ac:dyDescent="0.3">
      <c r="A37" s="22" t="s">
        <v>72</v>
      </c>
      <c r="B37" s="23" t="s">
        <v>73</v>
      </c>
      <c r="C37" s="24">
        <v>0</v>
      </c>
      <c r="D37" s="24">
        <v>0.36</v>
      </c>
      <c r="E37" s="24">
        <v>0.36</v>
      </c>
      <c r="F37" s="25">
        <v>1800</v>
      </c>
      <c r="G37" s="26" t="s">
        <v>32</v>
      </c>
      <c r="H37" s="26"/>
      <c r="I37" s="39"/>
      <c r="J37" s="26"/>
      <c r="K37" s="26"/>
      <c r="L37" s="26"/>
      <c r="M37" s="26"/>
      <c r="N37" s="26"/>
      <c r="O37" s="26"/>
      <c r="P37" s="26"/>
      <c r="Q37" s="26"/>
      <c r="R37" s="27">
        <v>70420060485</v>
      </c>
      <c r="S37" s="27" t="s">
        <v>30</v>
      </c>
      <c r="T37" s="3" t="s">
        <v>31</v>
      </c>
      <c r="U37" s="5" t="s">
        <v>67</v>
      </c>
    </row>
    <row r="38" spans="1:21" ht="60.6" thickBot="1" x14ac:dyDescent="0.3">
      <c r="A38" s="22" t="s">
        <v>74</v>
      </c>
      <c r="B38" s="23" t="s">
        <v>75</v>
      </c>
      <c r="C38" s="24">
        <v>0</v>
      </c>
      <c r="D38" s="24">
        <v>1.7549999999999999</v>
      </c>
      <c r="E38" s="24">
        <v>1.7549999999999999</v>
      </c>
      <c r="F38" s="25">
        <v>8800</v>
      </c>
      <c r="G38" s="26" t="s">
        <v>32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7">
        <v>70420060486</v>
      </c>
      <c r="S38" s="3"/>
      <c r="T38" s="3" t="s">
        <v>31</v>
      </c>
      <c r="U38" s="5"/>
    </row>
    <row r="39" spans="1:21" x14ac:dyDescent="0.25">
      <c r="A39" s="604" t="s">
        <v>76</v>
      </c>
      <c r="B39" s="607" t="s">
        <v>77</v>
      </c>
      <c r="C39" s="30">
        <v>0</v>
      </c>
      <c r="D39" s="30">
        <v>0.42</v>
      </c>
      <c r="E39" s="610">
        <v>0.7</v>
      </c>
      <c r="F39" s="613">
        <v>3500</v>
      </c>
      <c r="G39" s="615" t="s">
        <v>32</v>
      </c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>
        <v>70420060492</v>
      </c>
      <c r="S39" s="640" t="s">
        <v>30</v>
      </c>
      <c r="T39" s="641" t="s">
        <v>31</v>
      </c>
      <c r="U39" s="642" t="s">
        <v>67</v>
      </c>
    </row>
    <row r="40" spans="1:21" x14ac:dyDescent="0.25">
      <c r="A40" s="605"/>
      <c r="B40" s="608"/>
      <c r="C40" s="10">
        <v>0.42</v>
      </c>
      <c r="D40" s="10">
        <v>0.6</v>
      </c>
      <c r="E40" s="611"/>
      <c r="F40" s="614"/>
      <c r="G40" s="616"/>
      <c r="H40" s="12"/>
      <c r="I40" s="12"/>
      <c r="J40" s="12"/>
      <c r="K40" s="12"/>
      <c r="L40" s="12"/>
      <c r="M40" s="12"/>
      <c r="N40" s="12"/>
      <c r="O40" s="12"/>
      <c r="P40" s="12"/>
      <c r="Q40" s="37"/>
      <c r="R40" s="14" t="s">
        <v>78</v>
      </c>
      <c r="S40" s="621"/>
      <c r="T40" s="633"/>
      <c r="U40" s="636"/>
    </row>
    <row r="41" spans="1:21" ht="21" customHeight="1" x14ac:dyDescent="0.25">
      <c r="A41" s="605"/>
      <c r="B41" s="608"/>
      <c r="C41" s="611">
        <v>0.6</v>
      </c>
      <c r="D41" s="611">
        <v>0.7</v>
      </c>
      <c r="E41" s="611"/>
      <c r="F41" s="614"/>
      <c r="G41" s="616"/>
      <c r="H41" s="12"/>
      <c r="I41" s="12"/>
      <c r="J41" s="12"/>
      <c r="K41" s="12"/>
      <c r="L41" s="12"/>
      <c r="M41" s="12"/>
      <c r="N41" s="12"/>
      <c r="O41" s="12"/>
      <c r="P41" s="12"/>
      <c r="Q41" s="37"/>
      <c r="R41" s="14" t="s">
        <v>79</v>
      </c>
      <c r="S41" s="621"/>
      <c r="T41" s="633"/>
      <c r="U41" s="636"/>
    </row>
    <row r="42" spans="1:21" ht="50.25" customHeight="1" thickBot="1" x14ac:dyDescent="0.3">
      <c r="A42" s="606"/>
      <c r="B42" s="609"/>
      <c r="C42" s="612"/>
      <c r="D42" s="612"/>
      <c r="E42" s="612"/>
      <c r="F42" s="638"/>
      <c r="G42" s="639"/>
      <c r="H42" s="18"/>
      <c r="I42" s="18"/>
      <c r="J42" s="18"/>
      <c r="K42" s="18"/>
      <c r="L42" s="18"/>
      <c r="M42" s="18"/>
      <c r="N42" s="18"/>
      <c r="O42" s="18"/>
      <c r="P42" s="18"/>
      <c r="Q42" s="38"/>
      <c r="R42" s="20">
        <v>70420060630</v>
      </c>
      <c r="S42" s="631"/>
      <c r="T42" s="634"/>
      <c r="U42" s="637"/>
    </row>
    <row r="43" spans="1:21" ht="36" customHeight="1" x14ac:dyDescent="0.25">
      <c r="A43" s="604" t="s">
        <v>80</v>
      </c>
      <c r="B43" s="607" t="s">
        <v>81</v>
      </c>
      <c r="C43" s="30">
        <v>0</v>
      </c>
      <c r="D43" s="30">
        <v>0.53</v>
      </c>
      <c r="E43" s="610">
        <v>3.1859999999999999</v>
      </c>
      <c r="F43" s="613">
        <v>15950</v>
      </c>
      <c r="G43" s="615" t="s">
        <v>32</v>
      </c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3">
        <v>70420060606</v>
      </c>
      <c r="S43" s="641"/>
      <c r="T43" s="641" t="s">
        <v>31</v>
      </c>
      <c r="U43" s="642"/>
    </row>
    <row r="44" spans="1:21" ht="27" customHeight="1" x14ac:dyDescent="0.25">
      <c r="A44" s="605"/>
      <c r="B44" s="608"/>
      <c r="C44" s="10">
        <v>0.53</v>
      </c>
      <c r="D44" s="10">
        <v>1.165</v>
      </c>
      <c r="E44" s="611"/>
      <c r="F44" s="614"/>
      <c r="G44" s="616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4" t="s">
        <v>79</v>
      </c>
      <c r="S44" s="633"/>
      <c r="T44" s="633"/>
      <c r="U44" s="636"/>
    </row>
    <row r="45" spans="1:21" ht="33" customHeight="1" thickBot="1" x14ac:dyDescent="0.3">
      <c r="A45" s="606"/>
      <c r="B45" s="609"/>
      <c r="C45" s="16">
        <v>1.165</v>
      </c>
      <c r="D45" s="16">
        <v>3.1859999999999999</v>
      </c>
      <c r="E45" s="612"/>
      <c r="F45" s="638"/>
      <c r="G45" s="639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20">
        <v>70420060479</v>
      </c>
      <c r="S45" s="634"/>
      <c r="T45" s="634"/>
      <c r="U45" s="637"/>
    </row>
    <row r="46" spans="1:21" ht="47.25" customHeight="1" x14ac:dyDescent="0.25">
      <c r="A46" s="604" t="s">
        <v>82</v>
      </c>
      <c r="B46" s="607" t="s">
        <v>83</v>
      </c>
      <c r="C46" s="30">
        <v>0</v>
      </c>
      <c r="D46" s="30">
        <v>0.24</v>
      </c>
      <c r="E46" s="610">
        <v>0.39200000000000002</v>
      </c>
      <c r="F46" s="31">
        <v>1440</v>
      </c>
      <c r="G46" s="32" t="s">
        <v>51</v>
      </c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640">
        <v>70420060496</v>
      </c>
      <c r="S46" s="640" t="s">
        <v>30</v>
      </c>
      <c r="T46" s="641" t="s">
        <v>31</v>
      </c>
      <c r="U46" s="642"/>
    </row>
    <row r="47" spans="1:21" ht="50.25" customHeight="1" thickBot="1" x14ac:dyDescent="0.3">
      <c r="A47" s="606"/>
      <c r="B47" s="609"/>
      <c r="C47" s="16">
        <v>0.24</v>
      </c>
      <c r="D47" s="16">
        <v>0.39200000000000002</v>
      </c>
      <c r="E47" s="612"/>
      <c r="F47" s="17">
        <v>900</v>
      </c>
      <c r="G47" s="18" t="s">
        <v>32</v>
      </c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631"/>
      <c r="S47" s="631"/>
      <c r="T47" s="634"/>
      <c r="U47" s="637"/>
    </row>
    <row r="48" spans="1:21" ht="34.5" customHeight="1" thickBot="1" x14ac:dyDescent="0.3">
      <c r="A48" s="22" t="s">
        <v>84</v>
      </c>
      <c r="B48" s="23" t="s">
        <v>85</v>
      </c>
      <c r="C48" s="24">
        <v>0</v>
      </c>
      <c r="D48" s="24">
        <v>0.186</v>
      </c>
      <c r="E48" s="24">
        <v>0.19</v>
      </c>
      <c r="F48" s="25">
        <f>560</f>
        <v>560</v>
      </c>
      <c r="G48" s="26" t="s">
        <v>51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7">
        <v>70420060495</v>
      </c>
      <c r="S48" s="27" t="s">
        <v>30</v>
      </c>
      <c r="T48" s="3" t="s">
        <v>31</v>
      </c>
      <c r="U48" s="5"/>
    </row>
    <row r="49" spans="1:21" x14ac:dyDescent="0.25">
      <c r="A49" s="604" t="s">
        <v>86</v>
      </c>
      <c r="B49" s="607" t="s">
        <v>87</v>
      </c>
      <c r="C49" s="30">
        <v>0</v>
      </c>
      <c r="D49" s="30">
        <v>0.193</v>
      </c>
      <c r="E49" s="610">
        <v>0.64</v>
      </c>
      <c r="F49" s="31">
        <v>665</v>
      </c>
      <c r="G49" s="32" t="s">
        <v>51</v>
      </c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3">
        <v>70420060499</v>
      </c>
      <c r="S49" s="640" t="s">
        <v>30</v>
      </c>
      <c r="T49" s="641" t="s">
        <v>31</v>
      </c>
      <c r="U49" s="642"/>
    </row>
    <row r="50" spans="1:21" x14ac:dyDescent="0.25">
      <c r="A50" s="605"/>
      <c r="B50" s="608"/>
      <c r="C50" s="10">
        <v>0.193</v>
      </c>
      <c r="D50" s="10">
        <v>0.46800000000000003</v>
      </c>
      <c r="E50" s="611"/>
      <c r="F50" s="11">
        <v>980</v>
      </c>
      <c r="G50" s="12" t="s">
        <v>51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4">
        <v>70420060796</v>
      </c>
      <c r="S50" s="621"/>
      <c r="T50" s="633"/>
      <c r="U50" s="636"/>
    </row>
    <row r="51" spans="1:21" ht="69" customHeight="1" thickBot="1" x14ac:dyDescent="0.3">
      <c r="A51" s="606"/>
      <c r="B51" s="609"/>
      <c r="C51" s="16">
        <v>0.46800000000000003</v>
      </c>
      <c r="D51" s="16">
        <v>0.64</v>
      </c>
      <c r="E51" s="612"/>
      <c r="F51" s="17">
        <v>595</v>
      </c>
      <c r="G51" s="18" t="s">
        <v>32</v>
      </c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20">
        <v>70420060610</v>
      </c>
      <c r="S51" s="631"/>
      <c r="T51" s="634"/>
      <c r="U51" s="637"/>
    </row>
    <row r="52" spans="1:21" ht="60.6" thickBot="1" x14ac:dyDescent="0.3">
      <c r="A52" s="40" t="s">
        <v>88</v>
      </c>
      <c r="B52" s="23" t="s">
        <v>89</v>
      </c>
      <c r="C52" s="41">
        <v>0</v>
      </c>
      <c r="D52" s="41">
        <v>1.8</v>
      </c>
      <c r="E52" s="41">
        <v>1.8</v>
      </c>
      <c r="F52" s="4">
        <v>10800</v>
      </c>
      <c r="G52" s="39" t="s">
        <v>32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">
        <v>70420010147</v>
      </c>
      <c r="S52" s="3"/>
      <c r="T52" s="3" t="s">
        <v>31</v>
      </c>
      <c r="U52" s="5"/>
    </row>
    <row r="53" spans="1:21" x14ac:dyDescent="0.25">
      <c r="A53" s="643" t="s">
        <v>90</v>
      </c>
      <c r="B53" s="651" t="s">
        <v>91</v>
      </c>
      <c r="C53" s="43">
        <v>0</v>
      </c>
      <c r="D53" s="43">
        <v>0.4</v>
      </c>
      <c r="E53" s="645">
        <v>2.3450000000000002</v>
      </c>
      <c r="F53" s="647">
        <v>11750</v>
      </c>
      <c r="G53" s="649" t="s">
        <v>32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3">
        <v>70420030072</v>
      </c>
      <c r="S53" s="641"/>
      <c r="T53" s="641" t="s">
        <v>31</v>
      </c>
      <c r="U53" s="642"/>
    </row>
    <row r="54" spans="1:21" ht="85.5" customHeight="1" thickBot="1" x14ac:dyDescent="0.3">
      <c r="A54" s="644"/>
      <c r="B54" s="652"/>
      <c r="C54" s="46">
        <v>0.4</v>
      </c>
      <c r="D54" s="46">
        <v>2.3450000000000002</v>
      </c>
      <c r="E54" s="646"/>
      <c r="F54" s="648"/>
      <c r="G54" s="650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20">
        <v>70420040137</v>
      </c>
      <c r="S54" s="634"/>
      <c r="T54" s="634"/>
      <c r="U54" s="637"/>
    </row>
    <row r="55" spans="1:21" x14ac:dyDescent="0.25">
      <c r="A55" s="643" t="s">
        <v>92</v>
      </c>
      <c r="B55" s="607" t="s">
        <v>93</v>
      </c>
      <c r="C55" s="43">
        <v>0</v>
      </c>
      <c r="D55" s="43">
        <v>0.84</v>
      </c>
      <c r="E55" s="645">
        <v>3.15</v>
      </c>
      <c r="F55" s="647">
        <v>18900</v>
      </c>
      <c r="G55" s="649" t="s">
        <v>32</v>
      </c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3">
        <v>70420030073</v>
      </c>
      <c r="S55" s="641"/>
      <c r="T55" s="641" t="s">
        <v>31</v>
      </c>
      <c r="U55" s="642"/>
    </row>
    <row r="56" spans="1:21" ht="72" customHeight="1" thickBot="1" x14ac:dyDescent="0.3">
      <c r="A56" s="644"/>
      <c r="B56" s="609"/>
      <c r="C56" s="46">
        <v>0.84</v>
      </c>
      <c r="D56" s="16">
        <v>3.15</v>
      </c>
      <c r="E56" s="646"/>
      <c r="F56" s="648"/>
      <c r="G56" s="650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20">
        <v>70420020175</v>
      </c>
      <c r="S56" s="634"/>
      <c r="T56" s="634"/>
      <c r="U56" s="637"/>
    </row>
    <row r="57" spans="1:21" x14ac:dyDescent="0.25">
      <c r="A57" s="604" t="s">
        <v>94</v>
      </c>
      <c r="B57" s="607" t="s">
        <v>95</v>
      </c>
      <c r="C57" s="43">
        <v>0</v>
      </c>
      <c r="D57" s="43">
        <v>1.075</v>
      </c>
      <c r="E57" s="645">
        <v>4.9459999999999997</v>
      </c>
      <c r="F57" s="647">
        <v>24750</v>
      </c>
      <c r="G57" s="649" t="s">
        <v>32</v>
      </c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3">
        <v>70420010143</v>
      </c>
      <c r="S57" s="641"/>
      <c r="T57" s="641" t="s">
        <v>31</v>
      </c>
      <c r="U57" s="642"/>
    </row>
    <row r="58" spans="1:21" x14ac:dyDescent="0.25">
      <c r="A58" s="605"/>
      <c r="B58" s="608"/>
      <c r="C58" s="48">
        <v>1.075</v>
      </c>
      <c r="D58" s="48">
        <v>2.4</v>
      </c>
      <c r="E58" s="654"/>
      <c r="F58" s="655"/>
      <c r="G58" s="653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4">
        <v>70420010168</v>
      </c>
      <c r="S58" s="633"/>
      <c r="T58" s="633"/>
      <c r="U58" s="636"/>
    </row>
    <row r="59" spans="1:21" ht="55.5" customHeight="1" thickBot="1" x14ac:dyDescent="0.3">
      <c r="A59" s="606"/>
      <c r="B59" s="609"/>
      <c r="C59" s="46">
        <v>2.4</v>
      </c>
      <c r="D59" s="16">
        <v>4.9459999999999997</v>
      </c>
      <c r="E59" s="646"/>
      <c r="F59" s="648"/>
      <c r="G59" s="650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20">
        <v>70420020182</v>
      </c>
      <c r="S59" s="634"/>
      <c r="T59" s="634"/>
      <c r="U59" s="637"/>
    </row>
    <row r="60" spans="1:21" ht="60.6" thickBot="1" x14ac:dyDescent="0.3">
      <c r="A60" s="22" t="s">
        <v>96</v>
      </c>
      <c r="B60" s="23" t="s">
        <v>97</v>
      </c>
      <c r="C60" s="41">
        <v>0</v>
      </c>
      <c r="D60" s="24">
        <v>2.4180000000000001</v>
      </c>
      <c r="E60" s="24">
        <v>2.4180000000000001</v>
      </c>
      <c r="F60" s="4">
        <v>14520</v>
      </c>
      <c r="G60" s="39" t="s">
        <v>32</v>
      </c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7">
        <v>70420010144</v>
      </c>
      <c r="S60" s="3"/>
      <c r="T60" s="3" t="s">
        <v>31</v>
      </c>
      <c r="U60" s="5"/>
    </row>
    <row r="61" spans="1:21" x14ac:dyDescent="0.25">
      <c r="A61" s="604" t="s">
        <v>98</v>
      </c>
      <c r="B61" s="607" t="s">
        <v>99</v>
      </c>
      <c r="C61" s="30">
        <v>0</v>
      </c>
      <c r="D61" s="30">
        <v>0.09</v>
      </c>
      <c r="E61" s="610">
        <v>0.43</v>
      </c>
      <c r="F61" s="613">
        <v>1720</v>
      </c>
      <c r="G61" s="649" t="s">
        <v>32</v>
      </c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3" t="s">
        <v>100</v>
      </c>
      <c r="S61" s="641"/>
      <c r="T61" s="641" t="s">
        <v>31</v>
      </c>
      <c r="U61" s="642" t="s">
        <v>67</v>
      </c>
    </row>
    <row r="62" spans="1:21" x14ac:dyDescent="0.25">
      <c r="A62" s="605"/>
      <c r="B62" s="608"/>
      <c r="C62" s="10">
        <v>0.09</v>
      </c>
      <c r="D62" s="10">
        <v>0.28000000000000003</v>
      </c>
      <c r="E62" s="611"/>
      <c r="F62" s="614"/>
      <c r="G62" s="653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4">
        <v>70420010145</v>
      </c>
      <c r="S62" s="633"/>
      <c r="T62" s="633"/>
      <c r="U62" s="636"/>
    </row>
    <row r="63" spans="1:21" ht="64.5" customHeight="1" thickBot="1" x14ac:dyDescent="0.3">
      <c r="A63" s="606"/>
      <c r="B63" s="609"/>
      <c r="C63" s="16">
        <v>0.28000000000000003</v>
      </c>
      <c r="D63" s="16">
        <v>0.43</v>
      </c>
      <c r="E63" s="612"/>
      <c r="F63" s="638"/>
      <c r="G63" s="650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20" t="s">
        <v>101</v>
      </c>
      <c r="S63" s="634"/>
      <c r="T63" s="634"/>
      <c r="U63" s="637"/>
    </row>
    <row r="64" spans="1:21" x14ac:dyDescent="0.25">
      <c r="A64" s="604" t="s">
        <v>102</v>
      </c>
      <c r="B64" s="607" t="s">
        <v>103</v>
      </c>
      <c r="C64" s="30">
        <v>0</v>
      </c>
      <c r="D64" s="30">
        <v>2.84</v>
      </c>
      <c r="E64" s="610">
        <v>4.8559999999999999</v>
      </c>
      <c r="F64" s="613">
        <v>29160</v>
      </c>
      <c r="G64" s="649" t="s">
        <v>32</v>
      </c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3">
        <v>70420010146</v>
      </c>
      <c r="S64" s="641"/>
      <c r="T64" s="641" t="s">
        <v>31</v>
      </c>
      <c r="U64" s="642"/>
    </row>
    <row r="65" spans="1:21" ht="80.25" customHeight="1" thickBot="1" x14ac:dyDescent="0.3">
      <c r="A65" s="606"/>
      <c r="B65" s="609"/>
      <c r="C65" s="16">
        <v>2.84</v>
      </c>
      <c r="D65" s="16">
        <v>4.8559999999999999</v>
      </c>
      <c r="E65" s="612"/>
      <c r="F65" s="638"/>
      <c r="G65" s="650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20">
        <v>70420070129</v>
      </c>
      <c r="S65" s="634"/>
      <c r="T65" s="634"/>
      <c r="U65" s="637"/>
    </row>
    <row r="66" spans="1:21" ht="60.6" thickBot="1" x14ac:dyDescent="0.3">
      <c r="A66" s="22" t="s">
        <v>104</v>
      </c>
      <c r="B66" s="23" t="s">
        <v>105</v>
      </c>
      <c r="C66" s="24">
        <v>0</v>
      </c>
      <c r="D66" s="24">
        <v>1.51</v>
      </c>
      <c r="E66" s="24">
        <v>1.51</v>
      </c>
      <c r="F66" s="25">
        <v>6040</v>
      </c>
      <c r="G66" s="39" t="s">
        <v>32</v>
      </c>
      <c r="H66" s="26"/>
      <c r="I66" s="26"/>
      <c r="J66" s="26"/>
      <c r="K66" s="26"/>
      <c r="L66" s="26"/>
      <c r="M66" s="26"/>
      <c r="N66" s="26"/>
      <c r="O66" s="26"/>
      <c r="P66" s="26"/>
      <c r="Q66" s="39"/>
      <c r="R66" s="27">
        <v>70420020210</v>
      </c>
      <c r="S66" s="3"/>
      <c r="T66" s="3" t="s">
        <v>31</v>
      </c>
      <c r="U66" s="5" t="s">
        <v>67</v>
      </c>
    </row>
    <row r="67" spans="1:21" x14ac:dyDescent="0.25">
      <c r="A67" s="604" t="s">
        <v>106</v>
      </c>
      <c r="B67" s="607" t="s">
        <v>107</v>
      </c>
      <c r="C67" s="30">
        <v>0</v>
      </c>
      <c r="D67" s="30">
        <v>2.0760000000000001</v>
      </c>
      <c r="E67" s="610">
        <v>2.79</v>
      </c>
      <c r="F67" s="613">
        <v>12555</v>
      </c>
      <c r="G67" s="649" t="s">
        <v>32</v>
      </c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4">
        <v>70420040138</v>
      </c>
      <c r="S67" s="641"/>
      <c r="T67" s="641" t="s">
        <v>31</v>
      </c>
      <c r="U67" s="642" t="s">
        <v>67</v>
      </c>
    </row>
    <row r="68" spans="1:21" ht="79.5" customHeight="1" thickBot="1" x14ac:dyDescent="0.3">
      <c r="A68" s="606"/>
      <c r="B68" s="609"/>
      <c r="C68" s="16">
        <v>2.08</v>
      </c>
      <c r="D68" s="16">
        <v>2.79</v>
      </c>
      <c r="E68" s="612"/>
      <c r="F68" s="638"/>
      <c r="G68" s="650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9">
        <v>70900030127</v>
      </c>
      <c r="S68" s="634"/>
      <c r="T68" s="634"/>
      <c r="U68" s="637"/>
    </row>
    <row r="69" spans="1:21" x14ac:dyDescent="0.25">
      <c r="A69" s="604" t="s">
        <v>108</v>
      </c>
      <c r="B69" s="607" t="s">
        <v>109</v>
      </c>
      <c r="C69" s="30">
        <v>0</v>
      </c>
      <c r="D69" s="30">
        <v>0.48499999999999999</v>
      </c>
      <c r="E69" s="610">
        <v>0.66</v>
      </c>
      <c r="F69" s="613">
        <v>2640</v>
      </c>
      <c r="G69" s="649" t="s">
        <v>32</v>
      </c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3">
        <v>70420050232</v>
      </c>
      <c r="S69" s="641"/>
      <c r="T69" s="641" t="s">
        <v>31</v>
      </c>
      <c r="U69" s="642"/>
    </row>
    <row r="70" spans="1:21" x14ac:dyDescent="0.25">
      <c r="A70" s="605"/>
      <c r="B70" s="608"/>
      <c r="C70" s="10">
        <v>0.48499999999999999</v>
      </c>
      <c r="D70" s="10">
        <v>0.625</v>
      </c>
      <c r="E70" s="611"/>
      <c r="F70" s="614"/>
      <c r="G70" s="653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4" t="s">
        <v>110</v>
      </c>
      <c r="S70" s="633"/>
      <c r="T70" s="633"/>
      <c r="U70" s="636"/>
    </row>
    <row r="71" spans="1:21" ht="57.75" customHeight="1" thickBot="1" x14ac:dyDescent="0.3">
      <c r="A71" s="606"/>
      <c r="B71" s="609"/>
      <c r="C71" s="16">
        <v>0.63</v>
      </c>
      <c r="D71" s="16">
        <v>0.66</v>
      </c>
      <c r="E71" s="612"/>
      <c r="F71" s="638"/>
      <c r="G71" s="650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20">
        <v>70420050234</v>
      </c>
      <c r="S71" s="634"/>
      <c r="T71" s="634"/>
      <c r="U71" s="637"/>
    </row>
    <row r="72" spans="1:21" x14ac:dyDescent="0.25">
      <c r="A72" s="604" t="s">
        <v>111</v>
      </c>
      <c r="B72" s="607" t="s">
        <v>112</v>
      </c>
      <c r="C72" s="30">
        <v>0</v>
      </c>
      <c r="D72" s="30">
        <v>0.88</v>
      </c>
      <c r="E72" s="610">
        <v>1.8520000000000001</v>
      </c>
      <c r="F72" s="613">
        <v>7400</v>
      </c>
      <c r="G72" s="649" t="s">
        <v>32</v>
      </c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3">
        <v>70420050234</v>
      </c>
      <c r="S72" s="641"/>
      <c r="T72" s="641" t="s">
        <v>31</v>
      </c>
      <c r="U72" s="642"/>
    </row>
    <row r="73" spans="1:21" x14ac:dyDescent="0.25">
      <c r="A73" s="605"/>
      <c r="B73" s="608"/>
      <c r="C73" s="10">
        <v>0.88</v>
      </c>
      <c r="D73" s="10">
        <v>1.375</v>
      </c>
      <c r="E73" s="611"/>
      <c r="F73" s="614"/>
      <c r="G73" s="653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4" t="s">
        <v>113</v>
      </c>
      <c r="S73" s="633"/>
      <c r="T73" s="633"/>
      <c r="U73" s="636"/>
    </row>
    <row r="74" spans="1:21" ht="60.75" customHeight="1" thickBot="1" x14ac:dyDescent="0.3">
      <c r="A74" s="606"/>
      <c r="B74" s="609"/>
      <c r="C74" s="16">
        <v>1.375</v>
      </c>
      <c r="D74" s="16">
        <v>1.8520000000000001</v>
      </c>
      <c r="E74" s="612"/>
      <c r="F74" s="638"/>
      <c r="G74" s="650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20">
        <v>70420050287</v>
      </c>
      <c r="S74" s="634"/>
      <c r="T74" s="634"/>
      <c r="U74" s="637"/>
    </row>
    <row r="75" spans="1:21" x14ac:dyDescent="0.25">
      <c r="A75" s="604" t="s">
        <v>114</v>
      </c>
      <c r="B75" s="607" t="s">
        <v>115</v>
      </c>
      <c r="C75" s="30">
        <v>0</v>
      </c>
      <c r="D75" s="30">
        <v>1.1599999999999999</v>
      </c>
      <c r="E75" s="610">
        <v>1.96</v>
      </c>
      <c r="F75" s="613">
        <f>E75*5000</f>
        <v>9800</v>
      </c>
      <c r="G75" s="649" t="s">
        <v>32</v>
      </c>
      <c r="H75" s="615"/>
      <c r="I75" s="615"/>
      <c r="J75" s="615"/>
      <c r="K75" s="615"/>
      <c r="L75" s="615"/>
      <c r="M75" s="615"/>
      <c r="N75" s="615"/>
      <c r="O75" s="615"/>
      <c r="P75" s="615"/>
      <c r="Q75" s="615"/>
      <c r="R75" s="33">
        <v>70420050235</v>
      </c>
      <c r="S75" s="641"/>
      <c r="T75" s="641" t="s">
        <v>31</v>
      </c>
      <c r="U75" s="642" t="s">
        <v>67</v>
      </c>
    </row>
    <row r="76" spans="1:21" x14ac:dyDescent="0.25">
      <c r="A76" s="605"/>
      <c r="B76" s="608"/>
      <c r="C76" s="611">
        <v>1.1599999999999999</v>
      </c>
      <c r="D76" s="611">
        <v>1.7</v>
      </c>
      <c r="E76" s="611"/>
      <c r="F76" s="614"/>
      <c r="G76" s="653"/>
      <c r="H76" s="616"/>
      <c r="I76" s="616"/>
      <c r="J76" s="616"/>
      <c r="K76" s="616"/>
      <c r="L76" s="616"/>
      <c r="M76" s="616"/>
      <c r="N76" s="616"/>
      <c r="O76" s="616"/>
      <c r="P76" s="616"/>
      <c r="Q76" s="616"/>
      <c r="R76" s="14" t="s">
        <v>116</v>
      </c>
      <c r="S76" s="633"/>
      <c r="T76" s="633"/>
      <c r="U76" s="636"/>
    </row>
    <row r="77" spans="1:21" x14ac:dyDescent="0.25">
      <c r="A77" s="605"/>
      <c r="B77" s="608"/>
      <c r="C77" s="611"/>
      <c r="D77" s="611"/>
      <c r="E77" s="611"/>
      <c r="F77" s="614"/>
      <c r="G77" s="653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4" t="s">
        <v>117</v>
      </c>
      <c r="S77" s="633"/>
      <c r="T77" s="633"/>
      <c r="U77" s="636"/>
    </row>
    <row r="78" spans="1:21" x14ac:dyDescent="0.25">
      <c r="A78" s="605"/>
      <c r="B78" s="608"/>
      <c r="C78" s="10">
        <v>1.7</v>
      </c>
      <c r="D78" s="10">
        <v>1.9</v>
      </c>
      <c r="E78" s="611"/>
      <c r="F78" s="614"/>
      <c r="G78" s="653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4">
        <v>70420050290</v>
      </c>
      <c r="S78" s="633"/>
      <c r="T78" s="633"/>
      <c r="U78" s="636"/>
    </row>
    <row r="79" spans="1:21" ht="30.75" customHeight="1" thickBot="1" x14ac:dyDescent="0.3">
      <c r="A79" s="606"/>
      <c r="B79" s="609"/>
      <c r="C79" s="16">
        <v>1.9</v>
      </c>
      <c r="D79" s="16">
        <v>1.96</v>
      </c>
      <c r="E79" s="612"/>
      <c r="F79" s="638"/>
      <c r="G79" s="650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20" t="s">
        <v>118</v>
      </c>
      <c r="S79" s="634"/>
      <c r="T79" s="634"/>
      <c r="U79" s="637"/>
    </row>
    <row r="80" spans="1:21" ht="97.5" customHeight="1" thickBot="1" x14ac:dyDescent="0.3">
      <c r="A80" s="22" t="s">
        <v>119</v>
      </c>
      <c r="B80" s="23" t="s">
        <v>120</v>
      </c>
      <c r="C80" s="24">
        <v>0</v>
      </c>
      <c r="D80" s="24">
        <v>1.08</v>
      </c>
      <c r="E80" s="24">
        <v>1.08</v>
      </c>
      <c r="F80" s="25">
        <v>4320</v>
      </c>
      <c r="G80" s="39" t="s">
        <v>32</v>
      </c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3">
        <v>70420070130</v>
      </c>
      <c r="S80" s="3"/>
      <c r="T80" s="3" t="s">
        <v>31</v>
      </c>
      <c r="U80" s="5"/>
    </row>
    <row r="81" spans="1:22" x14ac:dyDescent="0.25">
      <c r="A81" s="604" t="s">
        <v>121</v>
      </c>
      <c r="B81" s="607" t="s">
        <v>122</v>
      </c>
      <c r="C81" s="610">
        <v>0</v>
      </c>
      <c r="D81" s="610">
        <v>0.66</v>
      </c>
      <c r="E81" s="610">
        <v>2.0139999999999998</v>
      </c>
      <c r="F81" s="613">
        <v>10050</v>
      </c>
      <c r="G81" s="615" t="s">
        <v>32</v>
      </c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4" t="s">
        <v>123</v>
      </c>
      <c r="S81" s="641"/>
      <c r="T81" s="641" t="s">
        <v>31</v>
      </c>
      <c r="U81" s="642"/>
      <c r="V81" s="50"/>
    </row>
    <row r="82" spans="1:22" x14ac:dyDescent="0.25">
      <c r="A82" s="605"/>
      <c r="B82" s="608"/>
      <c r="C82" s="611"/>
      <c r="D82" s="611"/>
      <c r="E82" s="611"/>
      <c r="F82" s="614"/>
      <c r="G82" s="616"/>
      <c r="H82" s="12"/>
      <c r="I82" s="12"/>
      <c r="J82" s="12"/>
      <c r="K82" s="12"/>
      <c r="L82" s="12"/>
      <c r="M82" s="12"/>
      <c r="N82" s="12"/>
      <c r="O82" s="12"/>
      <c r="P82" s="12"/>
      <c r="Q82" s="37"/>
      <c r="R82" s="13" t="s">
        <v>124</v>
      </c>
      <c r="S82" s="633"/>
      <c r="T82" s="633"/>
      <c r="U82" s="636"/>
    </row>
    <row r="83" spans="1:22" x14ac:dyDescent="0.25">
      <c r="A83" s="605"/>
      <c r="B83" s="608"/>
      <c r="C83" s="611"/>
      <c r="D83" s="611"/>
      <c r="E83" s="611"/>
      <c r="F83" s="614"/>
      <c r="G83" s="616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4" t="s">
        <v>125</v>
      </c>
      <c r="S83" s="633"/>
      <c r="T83" s="633"/>
      <c r="U83" s="636"/>
    </row>
    <row r="84" spans="1:22" x14ac:dyDescent="0.25">
      <c r="A84" s="605"/>
      <c r="B84" s="608"/>
      <c r="C84" s="611"/>
      <c r="D84" s="611"/>
      <c r="E84" s="611"/>
      <c r="F84" s="614"/>
      <c r="G84" s="616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4" t="s">
        <v>126</v>
      </c>
      <c r="S84" s="633"/>
      <c r="T84" s="633"/>
      <c r="U84" s="636"/>
    </row>
    <row r="85" spans="1:22" x14ac:dyDescent="0.25">
      <c r="A85" s="605"/>
      <c r="B85" s="608"/>
      <c r="C85" s="611"/>
      <c r="D85" s="611"/>
      <c r="E85" s="611"/>
      <c r="F85" s="614"/>
      <c r="G85" s="616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4">
        <v>70420060476</v>
      </c>
      <c r="S85" s="633"/>
      <c r="T85" s="633"/>
      <c r="U85" s="636"/>
    </row>
    <row r="86" spans="1:22" x14ac:dyDescent="0.25">
      <c r="A86" s="605"/>
      <c r="B86" s="608"/>
      <c r="C86" s="611"/>
      <c r="D86" s="611"/>
      <c r="E86" s="611"/>
      <c r="F86" s="614"/>
      <c r="G86" s="616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4" t="s">
        <v>127</v>
      </c>
      <c r="S86" s="633"/>
      <c r="T86" s="633"/>
      <c r="U86" s="636"/>
    </row>
    <row r="87" spans="1:22" x14ac:dyDescent="0.25">
      <c r="A87" s="605"/>
      <c r="B87" s="608"/>
      <c r="C87" s="611"/>
      <c r="D87" s="611"/>
      <c r="E87" s="611"/>
      <c r="F87" s="614"/>
      <c r="G87" s="616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4" t="s">
        <v>128</v>
      </c>
      <c r="S87" s="633"/>
      <c r="T87" s="633"/>
      <c r="U87" s="636"/>
    </row>
    <row r="88" spans="1:22" x14ac:dyDescent="0.25">
      <c r="A88" s="605"/>
      <c r="B88" s="608"/>
      <c r="C88" s="611">
        <v>0.66</v>
      </c>
      <c r="D88" s="611">
        <v>2.0099999999999998</v>
      </c>
      <c r="E88" s="611"/>
      <c r="F88" s="614"/>
      <c r="G88" s="616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3">
        <v>70420060599</v>
      </c>
      <c r="S88" s="633"/>
      <c r="T88" s="633"/>
      <c r="U88" s="636"/>
    </row>
    <row r="89" spans="1:22" ht="14.4" thickBot="1" x14ac:dyDescent="0.3">
      <c r="A89" s="606"/>
      <c r="B89" s="609"/>
      <c r="C89" s="612"/>
      <c r="D89" s="612"/>
      <c r="E89" s="612"/>
      <c r="F89" s="638"/>
      <c r="G89" s="639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20" t="s">
        <v>129</v>
      </c>
      <c r="S89" s="634"/>
      <c r="T89" s="634"/>
      <c r="U89" s="637"/>
    </row>
    <row r="90" spans="1:22" x14ac:dyDescent="0.25">
      <c r="A90" s="604" t="s">
        <v>130</v>
      </c>
      <c r="B90" s="607" t="s">
        <v>131</v>
      </c>
      <c r="C90" s="30">
        <v>0</v>
      </c>
      <c r="D90" s="30">
        <v>1.3049999999999999</v>
      </c>
      <c r="E90" s="610">
        <v>2.4500000000000002</v>
      </c>
      <c r="F90" s="613">
        <v>12250</v>
      </c>
      <c r="G90" s="615" t="s">
        <v>32</v>
      </c>
      <c r="H90" s="32"/>
      <c r="I90" s="32"/>
      <c r="J90" s="32"/>
      <c r="K90" s="32"/>
      <c r="L90" s="32"/>
      <c r="M90" s="32"/>
      <c r="N90" s="32"/>
      <c r="O90" s="32"/>
      <c r="P90" s="32"/>
      <c r="Q90" s="36"/>
      <c r="R90" s="34">
        <v>70420060477</v>
      </c>
      <c r="S90" s="641"/>
      <c r="T90" s="641" t="s">
        <v>31</v>
      </c>
      <c r="U90" s="642" t="s">
        <v>67</v>
      </c>
    </row>
    <row r="91" spans="1:22" ht="79.5" customHeight="1" thickBot="1" x14ac:dyDescent="0.3">
      <c r="A91" s="606"/>
      <c r="B91" s="609"/>
      <c r="C91" s="16">
        <v>1.31</v>
      </c>
      <c r="D91" s="16">
        <v>2.4500000000000002</v>
      </c>
      <c r="E91" s="612"/>
      <c r="F91" s="638"/>
      <c r="G91" s="639"/>
      <c r="H91" s="18"/>
      <c r="I91" s="18"/>
      <c r="J91" s="18"/>
      <c r="K91" s="18"/>
      <c r="L91" s="18"/>
      <c r="M91" s="18"/>
      <c r="N91" s="18"/>
      <c r="O91" s="18"/>
      <c r="P91" s="18"/>
      <c r="Q91" s="38"/>
      <c r="R91" s="19">
        <v>70420060478</v>
      </c>
      <c r="S91" s="634"/>
      <c r="T91" s="634"/>
      <c r="U91" s="637"/>
    </row>
    <row r="92" spans="1:22" x14ac:dyDescent="0.25">
      <c r="A92" s="604" t="s">
        <v>132</v>
      </c>
      <c r="B92" s="607" t="s">
        <v>133</v>
      </c>
      <c r="C92" s="610">
        <v>0</v>
      </c>
      <c r="D92" s="610">
        <v>0.86099999999999999</v>
      </c>
      <c r="E92" s="610">
        <v>0.86099999999999999</v>
      </c>
      <c r="F92" s="613">
        <v>4300</v>
      </c>
      <c r="G92" s="615" t="s">
        <v>32</v>
      </c>
      <c r="H92" s="32"/>
      <c r="I92" s="36"/>
      <c r="J92" s="32"/>
      <c r="K92" s="32"/>
      <c r="L92" s="32"/>
      <c r="M92" s="32"/>
      <c r="N92" s="32"/>
      <c r="O92" s="32"/>
      <c r="P92" s="32"/>
      <c r="Q92" s="36"/>
      <c r="R92" s="34">
        <v>70420060480</v>
      </c>
      <c r="S92" s="641"/>
      <c r="T92" s="641" t="s">
        <v>31</v>
      </c>
      <c r="U92" s="642"/>
    </row>
    <row r="93" spans="1:22" ht="72.75" customHeight="1" thickBot="1" x14ac:dyDescent="0.3">
      <c r="A93" s="606"/>
      <c r="B93" s="609"/>
      <c r="C93" s="612"/>
      <c r="D93" s="612"/>
      <c r="E93" s="612"/>
      <c r="F93" s="638"/>
      <c r="G93" s="639"/>
      <c r="H93" s="18"/>
      <c r="I93" s="38"/>
      <c r="J93" s="18"/>
      <c r="K93" s="18"/>
      <c r="L93" s="18"/>
      <c r="M93" s="18"/>
      <c r="N93" s="18"/>
      <c r="O93" s="18"/>
      <c r="P93" s="18"/>
      <c r="Q93" s="38"/>
      <c r="R93" s="19" t="s">
        <v>134</v>
      </c>
      <c r="S93" s="634"/>
      <c r="T93" s="634"/>
      <c r="U93" s="637"/>
    </row>
    <row r="94" spans="1:22" ht="60.6" thickBot="1" x14ac:dyDescent="0.3">
      <c r="A94" s="22" t="s">
        <v>135</v>
      </c>
      <c r="B94" s="23" t="s">
        <v>136</v>
      </c>
      <c r="C94" s="24">
        <v>0</v>
      </c>
      <c r="D94" s="24">
        <v>0.93</v>
      </c>
      <c r="E94" s="24">
        <v>0.93</v>
      </c>
      <c r="F94" s="25">
        <v>4650</v>
      </c>
      <c r="G94" s="26" t="s">
        <v>32</v>
      </c>
      <c r="H94" s="26"/>
      <c r="I94" s="39"/>
      <c r="J94" s="26"/>
      <c r="K94" s="26"/>
      <c r="L94" s="26"/>
      <c r="M94" s="26"/>
      <c r="N94" s="26"/>
      <c r="O94" s="26"/>
      <c r="P94" s="26"/>
      <c r="Q94" s="26"/>
      <c r="R94" s="27">
        <v>70420060482</v>
      </c>
      <c r="S94" s="3"/>
      <c r="T94" s="3" t="s">
        <v>31</v>
      </c>
      <c r="U94" s="5"/>
    </row>
    <row r="95" spans="1:22" x14ac:dyDescent="0.25">
      <c r="A95" s="604" t="s">
        <v>137</v>
      </c>
      <c r="B95" s="607" t="s">
        <v>138</v>
      </c>
      <c r="C95" s="30">
        <v>0</v>
      </c>
      <c r="D95" s="30">
        <v>1.292</v>
      </c>
      <c r="E95" s="610">
        <v>1.81</v>
      </c>
      <c r="F95" s="613">
        <v>7240</v>
      </c>
      <c r="G95" s="615" t="s">
        <v>32</v>
      </c>
      <c r="H95" s="32"/>
      <c r="I95" s="32"/>
      <c r="J95" s="36"/>
      <c r="K95" s="32"/>
      <c r="L95" s="32"/>
      <c r="M95" s="32"/>
      <c r="N95" s="32"/>
      <c r="O95" s="32"/>
      <c r="P95" s="32"/>
      <c r="Q95" s="32"/>
      <c r="R95" s="33">
        <v>70420070133</v>
      </c>
      <c r="S95" s="641"/>
      <c r="T95" s="641" t="s">
        <v>31</v>
      </c>
      <c r="U95" s="642" t="s">
        <v>67</v>
      </c>
    </row>
    <row r="96" spans="1:22" ht="90.75" customHeight="1" thickBot="1" x14ac:dyDescent="0.3">
      <c r="A96" s="606"/>
      <c r="B96" s="609"/>
      <c r="C96" s="16">
        <v>1.29</v>
      </c>
      <c r="D96" s="16">
        <v>1.81</v>
      </c>
      <c r="E96" s="612"/>
      <c r="F96" s="638"/>
      <c r="G96" s="639"/>
      <c r="H96" s="38"/>
      <c r="I96" s="38"/>
      <c r="J96" s="18"/>
      <c r="K96" s="18"/>
      <c r="L96" s="18"/>
      <c r="M96" s="18"/>
      <c r="N96" s="18"/>
      <c r="O96" s="18"/>
      <c r="P96" s="18"/>
      <c r="Q96" s="18"/>
      <c r="R96" s="19">
        <v>70420070141</v>
      </c>
      <c r="S96" s="634"/>
      <c r="T96" s="634"/>
      <c r="U96" s="637"/>
    </row>
    <row r="97" spans="1:21" x14ac:dyDescent="0.25">
      <c r="A97" s="604" t="s">
        <v>139</v>
      </c>
      <c r="B97" s="607" t="s">
        <v>140</v>
      </c>
      <c r="C97" s="610">
        <v>0</v>
      </c>
      <c r="D97" s="610">
        <v>2.04</v>
      </c>
      <c r="E97" s="610">
        <v>2.1</v>
      </c>
      <c r="F97" s="613">
        <v>10500</v>
      </c>
      <c r="G97" s="615" t="s">
        <v>32</v>
      </c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4">
        <v>70420080182</v>
      </c>
      <c r="S97" s="641"/>
      <c r="T97" s="641" t="s">
        <v>31</v>
      </c>
      <c r="U97" s="642"/>
    </row>
    <row r="98" spans="1:21" x14ac:dyDescent="0.25">
      <c r="A98" s="605"/>
      <c r="B98" s="608"/>
      <c r="C98" s="611"/>
      <c r="D98" s="611"/>
      <c r="E98" s="611"/>
      <c r="F98" s="614"/>
      <c r="G98" s="616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3" t="s">
        <v>141</v>
      </c>
      <c r="S98" s="633"/>
      <c r="T98" s="633"/>
      <c r="U98" s="636"/>
    </row>
    <row r="99" spans="1:21" x14ac:dyDescent="0.25">
      <c r="A99" s="605"/>
      <c r="B99" s="608"/>
      <c r="C99" s="611" t="s">
        <v>142</v>
      </c>
      <c r="D99" s="611">
        <v>0.06</v>
      </c>
      <c r="E99" s="611"/>
      <c r="F99" s="614"/>
      <c r="G99" s="616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3">
        <v>70420080182</v>
      </c>
      <c r="S99" s="633"/>
      <c r="T99" s="633"/>
      <c r="U99" s="636"/>
    </row>
    <row r="100" spans="1:21" ht="44.25" customHeight="1" thickBot="1" x14ac:dyDescent="0.3">
      <c r="A100" s="606"/>
      <c r="B100" s="609"/>
      <c r="C100" s="612"/>
      <c r="D100" s="612"/>
      <c r="E100" s="612"/>
      <c r="F100" s="638"/>
      <c r="G100" s="639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9" t="s">
        <v>141</v>
      </c>
      <c r="S100" s="634"/>
      <c r="T100" s="634"/>
      <c r="U100" s="637"/>
    </row>
    <row r="101" spans="1:21" ht="60.6" thickBot="1" x14ac:dyDescent="0.3">
      <c r="A101" s="22" t="s">
        <v>143</v>
      </c>
      <c r="B101" s="23" t="s">
        <v>144</v>
      </c>
      <c r="C101" s="24">
        <v>0</v>
      </c>
      <c r="D101" s="24">
        <v>1.93</v>
      </c>
      <c r="E101" s="24">
        <v>1.93</v>
      </c>
      <c r="F101" s="25">
        <v>7720</v>
      </c>
      <c r="G101" s="26" t="s">
        <v>32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7">
        <v>70420080183</v>
      </c>
      <c r="S101" s="3"/>
      <c r="T101" s="3" t="s">
        <v>31</v>
      </c>
      <c r="U101" s="5"/>
    </row>
    <row r="102" spans="1:21" ht="60.6" thickBot="1" x14ac:dyDescent="0.3">
      <c r="A102" s="22" t="s">
        <v>145</v>
      </c>
      <c r="B102" s="23" t="s">
        <v>146</v>
      </c>
      <c r="C102" s="24">
        <v>0</v>
      </c>
      <c r="D102" s="24">
        <v>1.0289999999999999</v>
      </c>
      <c r="E102" s="24">
        <v>1.0289999999999999</v>
      </c>
      <c r="F102" s="25">
        <v>4120</v>
      </c>
      <c r="G102" s="26" t="s">
        <v>32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7">
        <v>70420080184</v>
      </c>
      <c r="S102" s="3"/>
      <c r="T102" s="3" t="s">
        <v>31</v>
      </c>
      <c r="U102" s="5"/>
    </row>
    <row r="103" spans="1:21" ht="60.6" thickBot="1" x14ac:dyDescent="0.3">
      <c r="A103" s="22" t="s">
        <v>147</v>
      </c>
      <c r="B103" s="23" t="s">
        <v>148</v>
      </c>
      <c r="C103" s="24">
        <v>0</v>
      </c>
      <c r="D103" s="24">
        <v>3.48</v>
      </c>
      <c r="E103" s="24">
        <v>3.48</v>
      </c>
      <c r="F103" s="25">
        <v>17400</v>
      </c>
      <c r="G103" s="26" t="s">
        <v>32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7">
        <v>70420080185</v>
      </c>
      <c r="S103" s="3"/>
      <c r="T103" s="3" t="s">
        <v>31</v>
      </c>
      <c r="U103" s="5"/>
    </row>
    <row r="104" spans="1:21" ht="60.6" thickBot="1" x14ac:dyDescent="0.3">
      <c r="A104" s="22" t="s">
        <v>149</v>
      </c>
      <c r="B104" s="23" t="s">
        <v>150</v>
      </c>
      <c r="C104" s="24">
        <v>0</v>
      </c>
      <c r="D104" s="24">
        <v>0.48499999999999999</v>
      </c>
      <c r="E104" s="24">
        <v>0.48499999999999999</v>
      </c>
      <c r="F104" s="25">
        <v>1960</v>
      </c>
      <c r="G104" s="26" t="s">
        <v>32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7">
        <v>70420080187</v>
      </c>
      <c r="S104" s="3"/>
      <c r="T104" s="3" t="s">
        <v>31</v>
      </c>
      <c r="U104" s="5"/>
    </row>
    <row r="105" spans="1:21" x14ac:dyDescent="0.25">
      <c r="A105" s="604" t="s">
        <v>151</v>
      </c>
      <c r="B105" s="607" t="s">
        <v>152</v>
      </c>
      <c r="C105" s="30">
        <v>0</v>
      </c>
      <c r="D105" s="30">
        <v>1.87</v>
      </c>
      <c r="E105" s="610">
        <v>4.9400000000000004</v>
      </c>
      <c r="F105" s="613">
        <v>22230</v>
      </c>
      <c r="G105" s="615" t="s">
        <v>32</v>
      </c>
      <c r="H105" s="615" t="s">
        <v>153</v>
      </c>
      <c r="I105" s="615"/>
      <c r="J105" s="649" t="s">
        <v>154</v>
      </c>
      <c r="K105" s="656">
        <v>12.2</v>
      </c>
      <c r="L105" s="610">
        <v>92.72</v>
      </c>
      <c r="M105" s="615"/>
      <c r="N105" s="615"/>
      <c r="O105" s="615" t="s">
        <v>155</v>
      </c>
      <c r="P105" s="615"/>
      <c r="Q105" s="649"/>
      <c r="R105" s="33">
        <v>70420060489</v>
      </c>
      <c r="S105" s="641"/>
      <c r="T105" s="641" t="s">
        <v>31</v>
      </c>
      <c r="U105" s="35"/>
    </row>
    <row r="106" spans="1:21" ht="24" x14ac:dyDescent="0.25">
      <c r="A106" s="605"/>
      <c r="B106" s="608"/>
      <c r="C106" s="10">
        <v>1.87</v>
      </c>
      <c r="D106" s="10">
        <v>2.25</v>
      </c>
      <c r="E106" s="611"/>
      <c r="F106" s="614"/>
      <c r="G106" s="616"/>
      <c r="H106" s="616"/>
      <c r="I106" s="616"/>
      <c r="J106" s="653"/>
      <c r="K106" s="657"/>
      <c r="L106" s="611"/>
      <c r="M106" s="616"/>
      <c r="N106" s="616"/>
      <c r="O106" s="616"/>
      <c r="P106" s="616"/>
      <c r="Q106" s="653"/>
      <c r="R106" s="14" t="s">
        <v>156</v>
      </c>
      <c r="S106" s="633"/>
      <c r="T106" s="633"/>
      <c r="U106" s="15"/>
    </row>
    <row r="107" spans="1:21" x14ac:dyDescent="0.25">
      <c r="A107" s="605"/>
      <c r="B107" s="608"/>
      <c r="C107" s="10">
        <v>2.25</v>
      </c>
      <c r="D107" s="10">
        <v>3.44</v>
      </c>
      <c r="E107" s="611"/>
      <c r="F107" s="614"/>
      <c r="G107" s="616"/>
      <c r="H107" s="12"/>
      <c r="I107" s="12"/>
      <c r="J107" s="37"/>
      <c r="K107" s="503"/>
      <c r="L107" s="10"/>
      <c r="M107" s="12"/>
      <c r="N107" s="12"/>
      <c r="O107" s="12"/>
      <c r="P107" s="12"/>
      <c r="Q107" s="37"/>
      <c r="R107" s="13">
        <v>70420080227</v>
      </c>
      <c r="S107" s="633"/>
      <c r="T107" s="633"/>
      <c r="U107" s="15"/>
    </row>
    <row r="108" spans="1:21" ht="27.75" customHeight="1" thickBot="1" x14ac:dyDescent="0.3">
      <c r="A108" s="606"/>
      <c r="B108" s="609"/>
      <c r="C108" s="16">
        <v>3.44</v>
      </c>
      <c r="D108" s="16">
        <v>4.9400000000000004</v>
      </c>
      <c r="E108" s="612"/>
      <c r="F108" s="638"/>
      <c r="G108" s="639"/>
      <c r="H108" s="18"/>
      <c r="I108" s="18"/>
      <c r="J108" s="38"/>
      <c r="K108" s="504"/>
      <c r="L108" s="16"/>
      <c r="M108" s="18"/>
      <c r="N108" s="18"/>
      <c r="O108" s="18"/>
      <c r="P108" s="18"/>
      <c r="Q108" s="38"/>
      <c r="R108" s="19">
        <v>70420080229</v>
      </c>
      <c r="S108" s="634"/>
      <c r="T108" s="634"/>
      <c r="U108" s="21"/>
    </row>
    <row r="109" spans="1:21" ht="60.6" thickBot="1" x14ac:dyDescent="0.3">
      <c r="A109" s="22" t="s">
        <v>157</v>
      </c>
      <c r="B109" s="23" t="s">
        <v>158</v>
      </c>
      <c r="C109" s="24">
        <v>0</v>
      </c>
      <c r="D109" s="24">
        <v>0.56799999999999995</v>
      </c>
      <c r="E109" s="24">
        <v>0.56799999999999995</v>
      </c>
      <c r="F109" s="25">
        <v>2280</v>
      </c>
      <c r="G109" s="26" t="s">
        <v>32</v>
      </c>
      <c r="H109" s="26"/>
      <c r="I109" s="39"/>
      <c r="J109" s="26"/>
      <c r="K109" s="26"/>
      <c r="L109" s="26"/>
      <c r="M109" s="26"/>
      <c r="N109" s="26"/>
      <c r="O109" s="26"/>
      <c r="P109" s="26"/>
      <c r="Q109" s="26"/>
      <c r="R109" s="27">
        <v>70420080190</v>
      </c>
      <c r="S109" s="3"/>
      <c r="T109" s="3" t="s">
        <v>31</v>
      </c>
      <c r="U109" s="5"/>
    </row>
    <row r="110" spans="1:21" x14ac:dyDescent="0.25">
      <c r="A110" s="604" t="s">
        <v>159</v>
      </c>
      <c r="B110" s="607" t="s">
        <v>160</v>
      </c>
      <c r="C110" s="30">
        <v>0</v>
      </c>
      <c r="D110" s="30">
        <v>1.1000000000000001</v>
      </c>
      <c r="E110" s="610">
        <v>4.0129999999999999</v>
      </c>
      <c r="F110" s="613">
        <v>24060</v>
      </c>
      <c r="G110" s="615" t="s">
        <v>32</v>
      </c>
      <c r="H110" s="34"/>
      <c r="I110" s="32" t="s">
        <v>161</v>
      </c>
      <c r="J110" s="36"/>
      <c r="K110" s="34"/>
      <c r="L110" s="34"/>
      <c r="M110" s="32"/>
      <c r="N110" s="32"/>
      <c r="O110" s="32"/>
      <c r="P110" s="32"/>
      <c r="Q110" s="32"/>
      <c r="R110" s="33">
        <v>70420080181</v>
      </c>
      <c r="S110" s="641"/>
      <c r="T110" s="641" t="s">
        <v>31</v>
      </c>
      <c r="U110" s="35"/>
    </row>
    <row r="111" spans="1:21" ht="78.75" customHeight="1" thickBot="1" x14ac:dyDescent="0.3">
      <c r="A111" s="606"/>
      <c r="B111" s="609"/>
      <c r="C111" s="16">
        <v>1.1000000000000001</v>
      </c>
      <c r="D111" s="16">
        <v>4.0129999999999999</v>
      </c>
      <c r="E111" s="612"/>
      <c r="F111" s="638"/>
      <c r="G111" s="639"/>
      <c r="H111" s="18" t="s">
        <v>162</v>
      </c>
      <c r="I111" s="18"/>
      <c r="J111" s="38" t="s">
        <v>163</v>
      </c>
      <c r="K111" s="504">
        <v>11.28</v>
      </c>
      <c r="L111" s="16">
        <v>61.61</v>
      </c>
      <c r="M111" s="18"/>
      <c r="N111" s="18"/>
      <c r="O111" s="38" t="s">
        <v>164</v>
      </c>
      <c r="P111" s="18"/>
      <c r="Q111" s="18"/>
      <c r="R111" s="20">
        <v>70420090075</v>
      </c>
      <c r="S111" s="634"/>
      <c r="T111" s="634"/>
      <c r="U111" s="21"/>
    </row>
    <row r="112" spans="1:21" x14ac:dyDescent="0.25">
      <c r="A112" s="604" t="s">
        <v>165</v>
      </c>
      <c r="B112" s="607" t="s">
        <v>166</v>
      </c>
      <c r="C112" s="30">
        <v>0</v>
      </c>
      <c r="D112" s="30">
        <v>0.1</v>
      </c>
      <c r="E112" s="610">
        <v>0.63</v>
      </c>
      <c r="F112" s="613">
        <v>3150</v>
      </c>
      <c r="G112" s="615" t="s">
        <v>32</v>
      </c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3" t="s">
        <v>167</v>
      </c>
      <c r="S112" s="641"/>
      <c r="T112" s="641" t="s">
        <v>31</v>
      </c>
      <c r="U112" s="35"/>
    </row>
    <row r="113" spans="1:22" ht="82.5" customHeight="1" thickBot="1" x14ac:dyDescent="0.3">
      <c r="A113" s="606"/>
      <c r="B113" s="609"/>
      <c r="C113" s="16">
        <v>0.1</v>
      </c>
      <c r="D113" s="16">
        <v>0.63</v>
      </c>
      <c r="E113" s="612"/>
      <c r="F113" s="638"/>
      <c r="G113" s="639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20">
        <v>70420090078</v>
      </c>
      <c r="S113" s="634"/>
      <c r="T113" s="634"/>
      <c r="U113" s="21"/>
    </row>
    <row r="114" spans="1:22" ht="60.6" thickBot="1" x14ac:dyDescent="0.3">
      <c r="A114" s="22" t="s">
        <v>168</v>
      </c>
      <c r="B114" s="23" t="s">
        <v>169</v>
      </c>
      <c r="C114" s="24">
        <v>0</v>
      </c>
      <c r="D114" s="24">
        <v>0.9</v>
      </c>
      <c r="E114" s="24">
        <v>0.9</v>
      </c>
      <c r="F114" s="25">
        <v>4500</v>
      </c>
      <c r="G114" s="26" t="s">
        <v>32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7">
        <v>70420100383</v>
      </c>
      <c r="S114" s="3"/>
      <c r="T114" s="3" t="s">
        <v>31</v>
      </c>
      <c r="U114" s="5" t="s">
        <v>67</v>
      </c>
    </row>
    <row r="115" spans="1:22" ht="60.6" thickBot="1" x14ac:dyDescent="0.3">
      <c r="A115" s="22" t="s">
        <v>170</v>
      </c>
      <c r="B115" s="23" t="s">
        <v>171</v>
      </c>
      <c r="C115" s="24">
        <v>0</v>
      </c>
      <c r="D115" s="24">
        <v>0.82</v>
      </c>
      <c r="E115" s="24">
        <v>0.82</v>
      </c>
      <c r="F115" s="25">
        <v>6560</v>
      </c>
      <c r="G115" s="26" t="s">
        <v>32</v>
      </c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7">
        <v>70420100831</v>
      </c>
      <c r="S115" s="3"/>
      <c r="T115" s="3" t="s">
        <v>31</v>
      </c>
      <c r="U115" s="5"/>
    </row>
    <row r="116" spans="1:22" x14ac:dyDescent="0.25">
      <c r="A116" s="604" t="s">
        <v>172</v>
      </c>
      <c r="B116" s="607" t="s">
        <v>173</v>
      </c>
      <c r="C116" s="30">
        <v>0</v>
      </c>
      <c r="D116" s="30">
        <v>0.52</v>
      </c>
      <c r="E116" s="610">
        <v>1.72</v>
      </c>
      <c r="F116" s="613">
        <v>10320</v>
      </c>
      <c r="G116" s="649" t="s">
        <v>32</v>
      </c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3">
        <v>70420050231</v>
      </c>
      <c r="S116" s="641"/>
      <c r="T116" s="641" t="s">
        <v>31</v>
      </c>
      <c r="U116" s="35"/>
    </row>
    <row r="117" spans="1:22" ht="84.75" customHeight="1" thickBot="1" x14ac:dyDescent="0.3">
      <c r="A117" s="606"/>
      <c r="B117" s="609"/>
      <c r="C117" s="16">
        <v>0.52</v>
      </c>
      <c r="D117" s="16">
        <v>1.72</v>
      </c>
      <c r="E117" s="612"/>
      <c r="F117" s="638"/>
      <c r="G117" s="650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20">
        <v>70420020180</v>
      </c>
      <c r="S117" s="634"/>
      <c r="T117" s="634"/>
      <c r="U117" s="21"/>
    </row>
    <row r="118" spans="1:22" x14ac:dyDescent="0.25">
      <c r="A118" s="604" t="s">
        <v>174</v>
      </c>
      <c r="B118" s="607" t="s">
        <v>175</v>
      </c>
      <c r="C118" s="30">
        <v>0</v>
      </c>
      <c r="D118" s="30">
        <v>0.87</v>
      </c>
      <c r="E118" s="610">
        <v>0.96</v>
      </c>
      <c r="F118" s="613">
        <v>4800</v>
      </c>
      <c r="G118" s="649" t="s">
        <v>32</v>
      </c>
      <c r="H118" s="34"/>
      <c r="I118" s="32"/>
      <c r="J118" s="32"/>
      <c r="K118" s="32"/>
      <c r="L118" s="32"/>
      <c r="M118" s="32"/>
      <c r="N118" s="32"/>
      <c r="O118" s="32"/>
      <c r="P118" s="32"/>
      <c r="Q118" s="32"/>
      <c r="R118" s="640">
        <v>70420050236</v>
      </c>
      <c r="S118" s="641"/>
      <c r="T118" s="641" t="s">
        <v>31</v>
      </c>
      <c r="U118" s="642"/>
    </row>
    <row r="119" spans="1:22" ht="79.5" customHeight="1" thickBot="1" x14ac:dyDescent="0.3">
      <c r="A119" s="606"/>
      <c r="B119" s="609"/>
      <c r="C119" s="16" t="s">
        <v>142</v>
      </c>
      <c r="D119" s="16">
        <v>0.09</v>
      </c>
      <c r="E119" s="612"/>
      <c r="F119" s="638"/>
      <c r="G119" s="650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631"/>
      <c r="S119" s="634"/>
      <c r="T119" s="634"/>
      <c r="U119" s="637"/>
    </row>
    <row r="120" spans="1:22" ht="112.5" customHeight="1" thickBot="1" x14ac:dyDescent="0.3">
      <c r="A120" s="22" t="s">
        <v>176</v>
      </c>
      <c r="B120" s="23" t="s">
        <v>177</v>
      </c>
      <c r="C120" s="24">
        <v>0</v>
      </c>
      <c r="D120" s="24">
        <v>0.20599999999999999</v>
      </c>
      <c r="E120" s="24">
        <v>0.20599999999999999</v>
      </c>
      <c r="F120" s="25">
        <v>1260</v>
      </c>
      <c r="G120" s="26" t="s">
        <v>32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7">
        <v>70420060481</v>
      </c>
      <c r="S120" s="3"/>
      <c r="T120" s="3" t="s">
        <v>31</v>
      </c>
      <c r="U120" s="5"/>
    </row>
    <row r="121" spans="1:22" ht="60.6" thickBot="1" x14ac:dyDescent="0.3">
      <c r="A121" s="22" t="s">
        <v>178</v>
      </c>
      <c r="B121" s="23" t="s">
        <v>179</v>
      </c>
      <c r="C121" s="24">
        <v>0</v>
      </c>
      <c r="D121" s="24">
        <v>1.0780000000000001</v>
      </c>
      <c r="E121" s="24">
        <v>1.0780000000000001</v>
      </c>
      <c r="F121" s="25">
        <v>5400</v>
      </c>
      <c r="G121" s="26" t="s">
        <v>32</v>
      </c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7">
        <v>70420060487</v>
      </c>
      <c r="S121" s="3"/>
      <c r="T121" s="3" t="s">
        <v>31</v>
      </c>
      <c r="U121" s="5"/>
    </row>
    <row r="122" spans="1:22" x14ac:dyDescent="0.25">
      <c r="A122" s="604" t="s">
        <v>180</v>
      </c>
      <c r="B122" s="607" t="s">
        <v>181</v>
      </c>
      <c r="C122" s="30">
        <v>0</v>
      </c>
      <c r="D122" s="30">
        <v>0.28000000000000003</v>
      </c>
      <c r="E122" s="610">
        <v>3.04</v>
      </c>
      <c r="F122" s="613">
        <v>12160</v>
      </c>
      <c r="G122" s="615" t="s">
        <v>32</v>
      </c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3">
        <v>70420060491</v>
      </c>
      <c r="S122" s="641"/>
      <c r="T122" s="641" t="s">
        <v>31</v>
      </c>
      <c r="U122" s="642"/>
    </row>
    <row r="123" spans="1:22" x14ac:dyDescent="0.25">
      <c r="A123" s="605"/>
      <c r="B123" s="608"/>
      <c r="C123" s="611">
        <v>0.28000000000000003</v>
      </c>
      <c r="D123" s="611">
        <v>1.21</v>
      </c>
      <c r="E123" s="611"/>
      <c r="F123" s="614"/>
      <c r="G123" s="616"/>
      <c r="H123" s="12"/>
      <c r="I123" s="12"/>
      <c r="J123" s="12"/>
      <c r="K123" s="12"/>
      <c r="L123" s="12"/>
      <c r="M123" s="12"/>
      <c r="N123" s="12"/>
      <c r="O123" s="12"/>
      <c r="P123" s="12"/>
      <c r="Q123" s="37"/>
      <c r="R123" s="14">
        <v>70420060698</v>
      </c>
      <c r="S123" s="633"/>
      <c r="T123" s="633"/>
      <c r="U123" s="636"/>
      <c r="V123" s="50"/>
    </row>
    <row r="124" spans="1:22" x14ac:dyDescent="0.25">
      <c r="A124" s="605"/>
      <c r="B124" s="608"/>
      <c r="C124" s="611"/>
      <c r="D124" s="611"/>
      <c r="E124" s="611"/>
      <c r="F124" s="614"/>
      <c r="G124" s="616"/>
      <c r="H124" s="12"/>
      <c r="I124" s="12"/>
      <c r="J124" s="12"/>
      <c r="K124" s="12"/>
      <c r="L124" s="12"/>
      <c r="M124" s="12"/>
      <c r="N124" s="12"/>
      <c r="O124" s="12"/>
      <c r="P124" s="12"/>
      <c r="Q124" s="37"/>
      <c r="R124" s="14" t="s">
        <v>182</v>
      </c>
      <c r="S124" s="633"/>
      <c r="T124" s="633"/>
      <c r="U124" s="636"/>
      <c r="V124" s="50"/>
    </row>
    <row r="125" spans="1:22" x14ac:dyDescent="0.25">
      <c r="A125" s="605"/>
      <c r="B125" s="608"/>
      <c r="C125" s="611"/>
      <c r="D125" s="611"/>
      <c r="E125" s="611"/>
      <c r="F125" s="614"/>
      <c r="G125" s="616"/>
      <c r="H125" s="12"/>
      <c r="I125" s="12"/>
      <c r="J125" s="12"/>
      <c r="K125" s="12"/>
      <c r="L125" s="12"/>
      <c r="M125" s="12"/>
      <c r="N125" s="12"/>
      <c r="O125" s="12"/>
      <c r="P125" s="12"/>
      <c r="Q125" s="37"/>
      <c r="R125" s="14" t="s">
        <v>183</v>
      </c>
      <c r="S125" s="633"/>
      <c r="T125" s="633"/>
      <c r="U125" s="636"/>
      <c r="V125" s="50"/>
    </row>
    <row r="126" spans="1:22" x14ac:dyDescent="0.25">
      <c r="A126" s="605"/>
      <c r="B126" s="608"/>
      <c r="C126" s="611"/>
      <c r="D126" s="611"/>
      <c r="E126" s="611"/>
      <c r="F126" s="614"/>
      <c r="G126" s="616"/>
      <c r="H126" s="12"/>
      <c r="I126" s="12"/>
      <c r="J126" s="12"/>
      <c r="K126" s="12"/>
      <c r="L126" s="12"/>
      <c r="M126" s="12"/>
      <c r="N126" s="12"/>
      <c r="O126" s="12"/>
      <c r="P126" s="12"/>
      <c r="Q126" s="37"/>
      <c r="R126" s="14" t="s">
        <v>184</v>
      </c>
      <c r="S126" s="633"/>
      <c r="T126" s="633"/>
      <c r="U126" s="636"/>
      <c r="V126" s="50"/>
    </row>
    <row r="127" spans="1:22" x14ac:dyDescent="0.25">
      <c r="A127" s="605"/>
      <c r="B127" s="608"/>
      <c r="C127" s="10">
        <v>1.21</v>
      </c>
      <c r="D127" s="10">
        <v>1.94</v>
      </c>
      <c r="E127" s="611"/>
      <c r="F127" s="614"/>
      <c r="G127" s="616"/>
      <c r="H127" s="12"/>
      <c r="I127" s="12"/>
      <c r="J127" s="12"/>
      <c r="K127" s="12"/>
      <c r="L127" s="12"/>
      <c r="M127" s="12"/>
      <c r="N127" s="12"/>
      <c r="O127" s="12"/>
      <c r="P127" s="12"/>
      <c r="Q127" s="37"/>
      <c r="R127" s="14">
        <v>70420030071</v>
      </c>
      <c r="S127" s="633"/>
      <c r="T127" s="633"/>
      <c r="U127" s="636"/>
      <c r="V127" s="50"/>
    </row>
    <row r="128" spans="1:22" ht="14.4" thickBot="1" x14ac:dyDescent="0.3">
      <c r="A128" s="606"/>
      <c r="B128" s="609"/>
      <c r="C128" s="16">
        <v>1.94</v>
      </c>
      <c r="D128" s="16">
        <v>3.04</v>
      </c>
      <c r="E128" s="612"/>
      <c r="F128" s="638"/>
      <c r="G128" s="639"/>
      <c r="H128" s="18"/>
      <c r="I128" s="18"/>
      <c r="J128" s="18"/>
      <c r="K128" s="18"/>
      <c r="L128" s="18"/>
      <c r="M128" s="18"/>
      <c r="N128" s="18"/>
      <c r="O128" s="18"/>
      <c r="P128" s="18"/>
      <c r="Q128" s="38"/>
      <c r="R128" s="20">
        <v>70420030077</v>
      </c>
      <c r="S128" s="634"/>
      <c r="T128" s="634"/>
      <c r="U128" s="637"/>
      <c r="V128" s="50"/>
    </row>
    <row r="129" spans="1:22" x14ac:dyDescent="0.25">
      <c r="A129" s="666" t="s">
        <v>185</v>
      </c>
      <c r="B129" s="651" t="s">
        <v>186</v>
      </c>
      <c r="C129" s="668">
        <v>0</v>
      </c>
      <c r="D129" s="668">
        <v>0.39</v>
      </c>
      <c r="E129" s="668">
        <v>0.39</v>
      </c>
      <c r="F129" s="658">
        <v>1560</v>
      </c>
      <c r="G129" s="660" t="s">
        <v>32</v>
      </c>
      <c r="H129" s="32"/>
      <c r="I129" s="32"/>
      <c r="J129" s="32"/>
      <c r="K129" s="32"/>
      <c r="L129" s="32"/>
      <c r="M129" s="32"/>
      <c r="N129" s="32"/>
      <c r="O129" s="32"/>
      <c r="P129" s="32"/>
      <c r="Q129" s="36"/>
      <c r="R129" s="662">
        <v>70420060602</v>
      </c>
      <c r="S129" s="662"/>
      <c r="T129" s="662" t="s">
        <v>31</v>
      </c>
      <c r="U129" s="664" t="s">
        <v>67</v>
      </c>
      <c r="V129" s="50"/>
    </row>
    <row r="130" spans="1:22" ht="77.25" customHeight="1" thickBot="1" x14ac:dyDescent="0.3">
      <c r="A130" s="667"/>
      <c r="B130" s="652"/>
      <c r="C130" s="669"/>
      <c r="D130" s="669"/>
      <c r="E130" s="669"/>
      <c r="F130" s="659"/>
      <c r="G130" s="661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663"/>
      <c r="S130" s="663"/>
      <c r="T130" s="663"/>
      <c r="U130" s="665"/>
    </row>
    <row r="131" spans="1:22" ht="60.6" thickBot="1" x14ac:dyDescent="0.3">
      <c r="A131" s="22" t="s">
        <v>187</v>
      </c>
      <c r="B131" s="23" t="s">
        <v>188</v>
      </c>
      <c r="C131" s="24">
        <v>0</v>
      </c>
      <c r="D131" s="24">
        <v>0.69299999999999995</v>
      </c>
      <c r="E131" s="24">
        <v>0.69299999999999995</v>
      </c>
      <c r="F131" s="25">
        <v>4140</v>
      </c>
      <c r="G131" s="39" t="s">
        <v>32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7">
        <v>70420020181</v>
      </c>
      <c r="S131" s="3"/>
      <c r="T131" s="3" t="s">
        <v>31</v>
      </c>
      <c r="U131" s="5"/>
    </row>
    <row r="132" spans="1:22" ht="60.6" thickBot="1" x14ac:dyDescent="0.3">
      <c r="A132" s="22" t="s">
        <v>189</v>
      </c>
      <c r="B132" s="23" t="s">
        <v>190</v>
      </c>
      <c r="C132" s="24">
        <v>0</v>
      </c>
      <c r="D132" s="24">
        <v>0.46</v>
      </c>
      <c r="E132" s="24">
        <v>0.46</v>
      </c>
      <c r="F132" s="25">
        <v>1840</v>
      </c>
      <c r="G132" s="26" t="s">
        <v>32</v>
      </c>
      <c r="H132" s="26"/>
      <c r="I132" s="39"/>
      <c r="J132" s="26"/>
      <c r="K132" s="26"/>
      <c r="L132" s="26"/>
      <c r="M132" s="26"/>
      <c r="N132" s="26"/>
      <c r="O132" s="26"/>
      <c r="P132" s="26"/>
      <c r="Q132" s="26"/>
      <c r="R132" s="27">
        <v>70420020178</v>
      </c>
      <c r="S132" s="3"/>
      <c r="T132" s="3" t="s">
        <v>31</v>
      </c>
      <c r="U132" s="5" t="s">
        <v>67</v>
      </c>
    </row>
    <row r="133" spans="1:22" ht="60.6" thickBot="1" x14ac:dyDescent="0.3">
      <c r="A133" s="22" t="s">
        <v>191</v>
      </c>
      <c r="B133" s="23" t="s">
        <v>192</v>
      </c>
      <c r="C133" s="24">
        <v>0</v>
      </c>
      <c r="D133" s="24">
        <v>0.46</v>
      </c>
      <c r="E133" s="24">
        <v>0.46</v>
      </c>
      <c r="F133" s="25">
        <v>1840</v>
      </c>
      <c r="G133" s="39" t="s">
        <v>32</v>
      </c>
      <c r="H133" s="26"/>
      <c r="I133" s="39"/>
      <c r="J133" s="26"/>
      <c r="K133" s="26"/>
      <c r="L133" s="26"/>
      <c r="M133" s="26"/>
      <c r="N133" s="26"/>
      <c r="O133" s="26"/>
      <c r="P133" s="26"/>
      <c r="Q133" s="26"/>
      <c r="R133" s="27">
        <v>70420020187</v>
      </c>
      <c r="S133" s="3"/>
      <c r="T133" s="3" t="s">
        <v>31</v>
      </c>
      <c r="U133" s="5"/>
    </row>
    <row r="134" spans="1:22" x14ac:dyDescent="0.25">
      <c r="A134" s="604" t="s">
        <v>193</v>
      </c>
      <c r="B134" s="607" t="s">
        <v>194</v>
      </c>
      <c r="C134" s="30">
        <v>0</v>
      </c>
      <c r="D134" s="30">
        <v>2.04</v>
      </c>
      <c r="E134" s="610">
        <v>3.7519999999999998</v>
      </c>
      <c r="F134" s="613">
        <v>20625</v>
      </c>
      <c r="G134" s="649" t="s">
        <v>32</v>
      </c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3">
        <v>70420050230</v>
      </c>
      <c r="S134" s="641"/>
      <c r="T134" s="641" t="s">
        <v>31</v>
      </c>
      <c r="U134" s="642"/>
    </row>
    <row r="135" spans="1:22" ht="86.25" customHeight="1" thickBot="1" x14ac:dyDescent="0.3">
      <c r="A135" s="606"/>
      <c r="B135" s="609"/>
      <c r="C135" s="16">
        <v>2.04</v>
      </c>
      <c r="D135" s="16">
        <v>3.7519999999999998</v>
      </c>
      <c r="E135" s="612"/>
      <c r="F135" s="638"/>
      <c r="G135" s="650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20">
        <v>70420020179</v>
      </c>
      <c r="S135" s="634"/>
      <c r="T135" s="634"/>
      <c r="U135" s="637"/>
    </row>
    <row r="136" spans="1:22" x14ac:dyDescent="0.25">
      <c r="A136" s="604" t="s">
        <v>195</v>
      </c>
      <c r="B136" s="607" t="s">
        <v>196</v>
      </c>
      <c r="C136" s="30">
        <v>0</v>
      </c>
      <c r="D136" s="30">
        <v>0.35</v>
      </c>
      <c r="E136" s="610">
        <v>0.87</v>
      </c>
      <c r="F136" s="613">
        <v>3915</v>
      </c>
      <c r="G136" s="615" t="s">
        <v>32</v>
      </c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3">
        <v>70420060488</v>
      </c>
      <c r="S136" s="641"/>
      <c r="T136" s="641" t="s">
        <v>31</v>
      </c>
      <c r="U136" s="642"/>
    </row>
    <row r="137" spans="1:22" x14ac:dyDescent="0.25">
      <c r="A137" s="605"/>
      <c r="B137" s="608"/>
      <c r="C137" s="10">
        <v>0.35</v>
      </c>
      <c r="D137" s="10">
        <v>0.59</v>
      </c>
      <c r="E137" s="611"/>
      <c r="F137" s="614"/>
      <c r="G137" s="616"/>
      <c r="H137" s="12"/>
      <c r="I137" s="12"/>
      <c r="J137" s="12"/>
      <c r="K137" s="12"/>
      <c r="L137" s="12"/>
      <c r="M137" s="12"/>
      <c r="N137" s="12"/>
      <c r="O137" s="12"/>
      <c r="P137" s="12"/>
      <c r="Q137" s="13"/>
      <c r="R137" s="14" t="s">
        <v>197</v>
      </c>
      <c r="S137" s="633"/>
      <c r="T137" s="633"/>
      <c r="U137" s="636"/>
      <c r="V137" s="50"/>
    </row>
    <row r="138" spans="1:22" ht="66.75" customHeight="1" thickBot="1" x14ac:dyDescent="0.3">
      <c r="A138" s="606"/>
      <c r="B138" s="609"/>
      <c r="C138" s="16">
        <v>0.59</v>
      </c>
      <c r="D138" s="16">
        <v>0.87</v>
      </c>
      <c r="E138" s="612"/>
      <c r="F138" s="638"/>
      <c r="G138" s="639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20">
        <v>70420060600</v>
      </c>
      <c r="S138" s="634"/>
      <c r="T138" s="634"/>
      <c r="U138" s="637"/>
      <c r="V138" s="50"/>
    </row>
    <row r="139" spans="1:22" ht="60.6" thickBot="1" x14ac:dyDescent="0.3">
      <c r="A139" s="22" t="s">
        <v>198</v>
      </c>
      <c r="B139" s="23" t="s">
        <v>199</v>
      </c>
      <c r="C139" s="24">
        <v>0</v>
      </c>
      <c r="D139" s="24">
        <v>0.15</v>
      </c>
      <c r="E139" s="24">
        <v>0.15</v>
      </c>
      <c r="F139" s="25">
        <v>600</v>
      </c>
      <c r="G139" s="26" t="s">
        <v>32</v>
      </c>
      <c r="H139" s="26"/>
      <c r="I139" s="26"/>
      <c r="J139" s="26"/>
      <c r="K139" s="26"/>
      <c r="L139" s="26"/>
      <c r="M139" s="26"/>
      <c r="N139" s="26"/>
      <c r="O139" s="26"/>
      <c r="P139" s="26"/>
      <c r="Q139" s="39"/>
      <c r="R139" s="27">
        <v>70420080186</v>
      </c>
      <c r="S139" s="3"/>
      <c r="T139" s="3" t="s">
        <v>31</v>
      </c>
      <c r="U139" s="5"/>
    </row>
    <row r="140" spans="1:22" ht="60.6" thickBot="1" x14ac:dyDescent="0.3">
      <c r="A140" s="22" t="s">
        <v>200</v>
      </c>
      <c r="B140" s="23" t="s">
        <v>201</v>
      </c>
      <c r="C140" s="24">
        <v>0</v>
      </c>
      <c r="D140" s="24">
        <v>0.38</v>
      </c>
      <c r="E140" s="24">
        <v>0.38</v>
      </c>
      <c r="F140" s="25">
        <v>1520</v>
      </c>
      <c r="G140" s="26" t="s">
        <v>32</v>
      </c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7">
        <v>70420040139</v>
      </c>
      <c r="S140" s="3"/>
      <c r="T140" s="3" t="s">
        <v>31</v>
      </c>
      <c r="U140" s="5" t="s">
        <v>67</v>
      </c>
    </row>
    <row r="141" spans="1:22" x14ac:dyDescent="0.25">
      <c r="E141" s="505"/>
    </row>
    <row r="142" spans="1:22" ht="24" x14ac:dyDescent="0.25">
      <c r="B142" s="61" t="s">
        <v>202</v>
      </c>
    </row>
    <row r="143" spans="1:22" x14ac:dyDescent="0.25">
      <c r="B143" s="61" t="s">
        <v>203</v>
      </c>
    </row>
    <row r="144" spans="1:22" x14ac:dyDescent="0.25">
      <c r="B144" s="61" t="s">
        <v>204</v>
      </c>
    </row>
    <row r="145" spans="1:32" ht="24" x14ac:dyDescent="0.25">
      <c r="B145" s="61" t="s">
        <v>205</v>
      </c>
    </row>
    <row r="146" spans="1:32" x14ac:dyDescent="0.25">
      <c r="A146" s="509"/>
      <c r="B146" s="509"/>
      <c r="C146" s="509"/>
      <c r="D146" s="509"/>
      <c r="E146" s="509"/>
      <c r="F146" s="509"/>
      <c r="G146" s="509"/>
      <c r="H146" s="509"/>
      <c r="I146" s="509"/>
      <c r="J146" s="509"/>
      <c r="K146" s="509"/>
      <c r="L146" s="509"/>
      <c r="M146" s="509"/>
      <c r="N146" s="509"/>
      <c r="O146" s="509"/>
      <c r="P146" s="509"/>
      <c r="Q146" s="509"/>
      <c r="R146" s="509"/>
      <c r="S146" s="509"/>
      <c r="T146" s="509"/>
      <c r="U146" s="509"/>
      <c r="V146" s="509"/>
      <c r="W146" s="509"/>
      <c r="X146" s="509"/>
      <c r="Y146" s="509"/>
      <c r="Z146" s="509"/>
      <c r="AA146" s="509"/>
      <c r="AB146" s="509"/>
      <c r="AC146" s="509"/>
      <c r="AD146" s="509"/>
      <c r="AE146" s="510"/>
      <c r="AF146" s="510"/>
    </row>
    <row r="147" spans="1:32" ht="27.6" customHeight="1" x14ac:dyDescent="0.25">
      <c r="A147" s="509"/>
      <c r="B147" s="509"/>
      <c r="C147" s="512" t="s">
        <v>3985</v>
      </c>
      <c r="D147" s="543" t="s">
        <v>3986</v>
      </c>
      <c r="E147" s="543"/>
      <c r="F147" s="543"/>
      <c r="G147" s="509"/>
      <c r="H147" s="509"/>
      <c r="I147" s="509"/>
      <c r="J147" s="509"/>
      <c r="K147" s="509"/>
      <c r="L147" s="509"/>
      <c r="M147" s="509"/>
      <c r="N147" s="509"/>
      <c r="O147" s="509"/>
      <c r="P147" s="509"/>
      <c r="Q147" s="509"/>
      <c r="R147" s="509"/>
      <c r="S147" s="509"/>
      <c r="T147" s="509"/>
      <c r="U147" s="509"/>
      <c r="V147" s="509"/>
      <c r="W147" s="509"/>
      <c r="X147" s="509"/>
      <c r="Y147" s="509"/>
      <c r="Z147" s="509"/>
      <c r="AA147" s="509"/>
      <c r="AB147" s="509"/>
      <c r="AC147" s="509"/>
      <c r="AD147" s="509"/>
      <c r="AE147" s="510"/>
      <c r="AF147" s="510"/>
    </row>
    <row r="148" spans="1:32" x14ac:dyDescent="0.25">
      <c r="A148" s="509"/>
      <c r="B148" s="509"/>
      <c r="C148" s="509"/>
      <c r="D148" s="509"/>
      <c r="E148" s="509"/>
      <c r="F148" s="509"/>
      <c r="G148" s="509"/>
      <c r="H148" s="509"/>
      <c r="I148" s="509"/>
      <c r="J148" s="509"/>
      <c r="K148" s="509"/>
      <c r="L148" s="509"/>
      <c r="M148" s="509"/>
      <c r="N148" s="509"/>
      <c r="O148" s="509"/>
      <c r="P148" s="509"/>
      <c r="Q148" s="509"/>
      <c r="R148" s="509"/>
      <c r="S148" s="509"/>
      <c r="T148" s="509"/>
      <c r="U148" s="509"/>
      <c r="V148" s="509"/>
      <c r="W148" s="509"/>
      <c r="X148" s="509"/>
      <c r="Y148" s="509"/>
      <c r="Z148" s="509"/>
      <c r="AA148" s="509"/>
      <c r="AB148" s="509"/>
      <c r="AC148" s="509"/>
      <c r="AD148" s="509"/>
      <c r="AE148" s="510"/>
      <c r="AF148" s="510"/>
    </row>
    <row r="149" spans="1:32" x14ac:dyDescent="0.25">
      <c r="A149" s="509"/>
      <c r="B149" s="509"/>
      <c r="C149" s="509"/>
      <c r="D149" s="509"/>
      <c r="E149" s="509"/>
      <c r="F149" s="509"/>
      <c r="G149" s="509"/>
      <c r="H149" s="509"/>
      <c r="I149" s="509"/>
      <c r="J149" s="509"/>
      <c r="K149" s="509"/>
      <c r="L149" s="509"/>
      <c r="M149" s="509"/>
      <c r="N149" s="509"/>
      <c r="O149" s="509"/>
      <c r="P149" s="509"/>
      <c r="Q149" s="509"/>
      <c r="R149" s="509"/>
      <c r="S149" s="509"/>
      <c r="T149" s="509"/>
      <c r="U149" s="509"/>
      <c r="V149" s="509"/>
      <c r="W149" s="509"/>
      <c r="X149" s="509"/>
      <c r="Y149" s="509"/>
      <c r="Z149" s="509"/>
      <c r="AA149" s="509"/>
      <c r="AB149" s="509"/>
      <c r="AC149" s="509"/>
      <c r="AD149" s="509"/>
      <c r="AE149" s="417"/>
      <c r="AF149" s="510"/>
    </row>
    <row r="150" spans="1:32" x14ac:dyDescent="0.25">
      <c r="C150" s="438" t="s">
        <v>3989</v>
      </c>
      <c r="D150" s="544" t="s">
        <v>3990</v>
      </c>
      <c r="E150" s="544"/>
      <c r="F150" s="544"/>
      <c r="G150" s="544"/>
      <c r="H150" s="544"/>
      <c r="I150" s="544"/>
    </row>
    <row r="151" spans="1:32" ht="13.95" customHeight="1" x14ac:dyDescent="0.25">
      <c r="C151" s="438" t="s">
        <v>3987</v>
      </c>
      <c r="D151" s="553" t="s">
        <v>3988</v>
      </c>
      <c r="E151" s="553"/>
      <c r="F151" s="553"/>
      <c r="G151" s="553"/>
      <c r="H151" s="553"/>
      <c r="I151" s="553"/>
    </row>
    <row r="152" spans="1:32" ht="14.4" customHeight="1" x14ac:dyDescent="0.25">
      <c r="B152" s="59"/>
      <c r="F152" s="59"/>
    </row>
    <row r="153" spans="1:32" x14ac:dyDescent="0.25">
      <c r="B153" s="554" t="s">
        <v>3984</v>
      </c>
      <c r="C153" s="554"/>
      <c r="D153" s="554"/>
      <c r="E153" s="554"/>
      <c r="F153" s="554"/>
      <c r="G153" s="554"/>
      <c r="H153" s="554"/>
      <c r="I153" s="554"/>
    </row>
  </sheetData>
  <mergeCells count="319">
    <mergeCell ref="T134:T135"/>
    <mergeCell ref="U134:U135"/>
    <mergeCell ref="A136:A138"/>
    <mergeCell ref="B136:B138"/>
    <mergeCell ref="E136:E138"/>
    <mergeCell ref="F136:F138"/>
    <mergeCell ref="G136:G138"/>
    <mergeCell ref="S136:S138"/>
    <mergeCell ref="T136:T138"/>
    <mergeCell ref="U136:U138"/>
    <mergeCell ref="A134:A135"/>
    <mergeCell ref="B134:B135"/>
    <mergeCell ref="E134:E135"/>
    <mergeCell ref="F134:F135"/>
    <mergeCell ref="G134:G135"/>
    <mergeCell ref="S134:S135"/>
    <mergeCell ref="F129:F130"/>
    <mergeCell ref="G129:G130"/>
    <mergeCell ref="R129:R130"/>
    <mergeCell ref="S129:S130"/>
    <mergeCell ref="T129:T130"/>
    <mergeCell ref="U129:U130"/>
    <mergeCell ref="D123:D126"/>
    <mergeCell ref="A129:A130"/>
    <mergeCell ref="B129:B130"/>
    <mergeCell ref="C129:C130"/>
    <mergeCell ref="D129:D130"/>
    <mergeCell ref="E129:E130"/>
    <mergeCell ref="U118:U119"/>
    <mergeCell ref="A122:A128"/>
    <mergeCell ref="B122:B128"/>
    <mergeCell ref="E122:E128"/>
    <mergeCell ref="F122:F128"/>
    <mergeCell ref="G122:G128"/>
    <mergeCell ref="S122:S128"/>
    <mergeCell ref="T122:T128"/>
    <mergeCell ref="U122:U128"/>
    <mergeCell ref="C123:C126"/>
    <mergeCell ref="A112:A113"/>
    <mergeCell ref="B112:B113"/>
    <mergeCell ref="E112:E113"/>
    <mergeCell ref="F112:F113"/>
    <mergeCell ref="G112:G113"/>
    <mergeCell ref="S112:S113"/>
    <mergeCell ref="T112:T113"/>
    <mergeCell ref="T116:T117"/>
    <mergeCell ref="A118:A119"/>
    <mergeCell ref="B118:B119"/>
    <mergeCell ref="E118:E119"/>
    <mergeCell ref="F118:F119"/>
    <mergeCell ref="G118:G119"/>
    <mergeCell ref="R118:R119"/>
    <mergeCell ref="S118:S119"/>
    <mergeCell ref="T118:T119"/>
    <mergeCell ref="A116:A117"/>
    <mergeCell ref="B116:B117"/>
    <mergeCell ref="E116:E117"/>
    <mergeCell ref="F116:F117"/>
    <mergeCell ref="G116:G117"/>
    <mergeCell ref="S116:S117"/>
    <mergeCell ref="O105:O106"/>
    <mergeCell ref="P105:P106"/>
    <mergeCell ref="Q105:Q106"/>
    <mergeCell ref="S105:S108"/>
    <mergeCell ref="T105:T108"/>
    <mergeCell ref="A110:A111"/>
    <mergeCell ref="B110:B111"/>
    <mergeCell ref="E110:E111"/>
    <mergeCell ref="F110:F111"/>
    <mergeCell ref="G110:G111"/>
    <mergeCell ref="I105:I106"/>
    <mergeCell ref="J105:J106"/>
    <mergeCell ref="K105:K106"/>
    <mergeCell ref="L105:L106"/>
    <mergeCell ref="M105:M106"/>
    <mergeCell ref="N105:N106"/>
    <mergeCell ref="A105:A108"/>
    <mergeCell ref="B105:B108"/>
    <mergeCell ref="E105:E108"/>
    <mergeCell ref="F105:F108"/>
    <mergeCell ref="G105:G108"/>
    <mergeCell ref="H105:H106"/>
    <mergeCell ref="S110:S111"/>
    <mergeCell ref="T110:T111"/>
    <mergeCell ref="A95:A96"/>
    <mergeCell ref="B95:B96"/>
    <mergeCell ref="E95:E96"/>
    <mergeCell ref="F95:F96"/>
    <mergeCell ref="G95:G96"/>
    <mergeCell ref="S95:S96"/>
    <mergeCell ref="T95:T96"/>
    <mergeCell ref="U95:U96"/>
    <mergeCell ref="G97:G100"/>
    <mergeCell ref="S97:S100"/>
    <mergeCell ref="T97:T100"/>
    <mergeCell ref="U97:U100"/>
    <mergeCell ref="C99:C100"/>
    <mergeCell ref="D99:D100"/>
    <mergeCell ref="A97:A100"/>
    <mergeCell ref="B97:B100"/>
    <mergeCell ref="C97:C98"/>
    <mergeCell ref="D97:D98"/>
    <mergeCell ref="E97:E100"/>
    <mergeCell ref="F97:F100"/>
    <mergeCell ref="U90:U91"/>
    <mergeCell ref="A92:A93"/>
    <mergeCell ref="B92:B93"/>
    <mergeCell ref="C92:C93"/>
    <mergeCell ref="D92:D93"/>
    <mergeCell ref="E92:E93"/>
    <mergeCell ref="F92:F93"/>
    <mergeCell ref="G92:G93"/>
    <mergeCell ref="S92:S93"/>
    <mergeCell ref="A90:A91"/>
    <mergeCell ref="B90:B91"/>
    <mergeCell ref="E90:E91"/>
    <mergeCell ref="F90:F91"/>
    <mergeCell ref="G90:G91"/>
    <mergeCell ref="S90:S91"/>
    <mergeCell ref="T92:T93"/>
    <mergeCell ref="U92:U93"/>
    <mergeCell ref="C88:C89"/>
    <mergeCell ref="D88:D89"/>
    <mergeCell ref="A81:A89"/>
    <mergeCell ref="B81:B89"/>
    <mergeCell ref="C81:C87"/>
    <mergeCell ref="D81:D87"/>
    <mergeCell ref="E81:E89"/>
    <mergeCell ref="F81:F89"/>
    <mergeCell ref="T90:T91"/>
    <mergeCell ref="U75:U79"/>
    <mergeCell ref="I75:I76"/>
    <mergeCell ref="J75:J76"/>
    <mergeCell ref="K75:K76"/>
    <mergeCell ref="L75:L76"/>
    <mergeCell ref="M75:M76"/>
    <mergeCell ref="N75:N76"/>
    <mergeCell ref="G81:G89"/>
    <mergeCell ref="S81:S89"/>
    <mergeCell ref="T81:T89"/>
    <mergeCell ref="U81:U89"/>
    <mergeCell ref="A75:A79"/>
    <mergeCell ref="B75:B79"/>
    <mergeCell ref="E75:E79"/>
    <mergeCell ref="F75:F79"/>
    <mergeCell ref="G75:G79"/>
    <mergeCell ref="H75:H76"/>
    <mergeCell ref="C76:C77"/>
    <mergeCell ref="D76:D77"/>
    <mergeCell ref="T69:T71"/>
    <mergeCell ref="O75:O76"/>
    <mergeCell ref="P75:P76"/>
    <mergeCell ref="Q75:Q76"/>
    <mergeCell ref="S75:S79"/>
    <mergeCell ref="T75:T79"/>
    <mergeCell ref="U69:U71"/>
    <mergeCell ref="A72:A74"/>
    <mergeCell ref="B72:B74"/>
    <mergeCell ref="E72:E74"/>
    <mergeCell ref="F72:F74"/>
    <mergeCell ref="G72:G74"/>
    <mergeCell ref="S72:S74"/>
    <mergeCell ref="T72:T74"/>
    <mergeCell ref="U72:U74"/>
    <mergeCell ref="A69:A71"/>
    <mergeCell ref="B69:B71"/>
    <mergeCell ref="E69:E71"/>
    <mergeCell ref="F69:F71"/>
    <mergeCell ref="G69:G71"/>
    <mergeCell ref="S69:S71"/>
    <mergeCell ref="T64:T65"/>
    <mergeCell ref="U64:U65"/>
    <mergeCell ref="A67:A68"/>
    <mergeCell ref="B67:B68"/>
    <mergeCell ref="E67:E68"/>
    <mergeCell ref="F67:F68"/>
    <mergeCell ref="G67:G68"/>
    <mergeCell ref="S67:S68"/>
    <mergeCell ref="T67:T68"/>
    <mergeCell ref="U67:U68"/>
    <mergeCell ref="A64:A65"/>
    <mergeCell ref="B64:B65"/>
    <mergeCell ref="E64:E65"/>
    <mergeCell ref="F64:F65"/>
    <mergeCell ref="G64:G65"/>
    <mergeCell ref="S64:S65"/>
    <mergeCell ref="T57:T59"/>
    <mergeCell ref="U57:U59"/>
    <mergeCell ref="A61:A63"/>
    <mergeCell ref="B61:B63"/>
    <mergeCell ref="E61:E63"/>
    <mergeCell ref="F61:F63"/>
    <mergeCell ref="G61:G63"/>
    <mergeCell ref="S61:S63"/>
    <mergeCell ref="T61:T63"/>
    <mergeCell ref="U61:U63"/>
    <mergeCell ref="A57:A59"/>
    <mergeCell ref="B57:B59"/>
    <mergeCell ref="E57:E59"/>
    <mergeCell ref="F57:F59"/>
    <mergeCell ref="G57:G59"/>
    <mergeCell ref="S57:S59"/>
    <mergeCell ref="T53:T54"/>
    <mergeCell ref="U53:U54"/>
    <mergeCell ref="A55:A56"/>
    <mergeCell ref="B55:B56"/>
    <mergeCell ref="E55:E56"/>
    <mergeCell ref="F55:F56"/>
    <mergeCell ref="G55:G56"/>
    <mergeCell ref="S55:S56"/>
    <mergeCell ref="T55:T56"/>
    <mergeCell ref="U55:U56"/>
    <mergeCell ref="A53:A54"/>
    <mergeCell ref="B53:B54"/>
    <mergeCell ref="E53:E54"/>
    <mergeCell ref="F53:F54"/>
    <mergeCell ref="G53:G54"/>
    <mergeCell ref="S53:S54"/>
    <mergeCell ref="T49:T51"/>
    <mergeCell ref="U49:U51"/>
    <mergeCell ref="T43:T45"/>
    <mergeCell ref="U43:U45"/>
    <mergeCell ref="A46:A47"/>
    <mergeCell ref="B46:B47"/>
    <mergeCell ref="E46:E47"/>
    <mergeCell ref="R46:R47"/>
    <mergeCell ref="S46:S47"/>
    <mergeCell ref="T46:T47"/>
    <mergeCell ref="U46:U47"/>
    <mergeCell ref="A43:A45"/>
    <mergeCell ref="B43:B45"/>
    <mergeCell ref="E43:E45"/>
    <mergeCell ref="F43:F45"/>
    <mergeCell ref="G43:G45"/>
    <mergeCell ref="S43:S45"/>
    <mergeCell ref="A49:A51"/>
    <mergeCell ref="B49:B51"/>
    <mergeCell ref="E49:E51"/>
    <mergeCell ref="S49:S51"/>
    <mergeCell ref="G31:G36"/>
    <mergeCell ref="S31:S36"/>
    <mergeCell ref="T31:T36"/>
    <mergeCell ref="U31:U36"/>
    <mergeCell ref="A39:A42"/>
    <mergeCell ref="B39:B42"/>
    <mergeCell ref="E39:E42"/>
    <mergeCell ref="F39:F42"/>
    <mergeCell ref="G39:G42"/>
    <mergeCell ref="S39:S42"/>
    <mergeCell ref="A31:A36"/>
    <mergeCell ref="B31:B36"/>
    <mergeCell ref="C31:C36"/>
    <mergeCell ref="D31:D36"/>
    <mergeCell ref="E31:E36"/>
    <mergeCell ref="F31:F36"/>
    <mergeCell ref="T39:T42"/>
    <mergeCell ref="U39:U42"/>
    <mergeCell ref="C41:C42"/>
    <mergeCell ref="D41:D42"/>
    <mergeCell ref="S18:S30"/>
    <mergeCell ref="T18:T30"/>
    <mergeCell ref="U18:U30"/>
    <mergeCell ref="C25:C30"/>
    <mergeCell ref="D25:D30"/>
    <mergeCell ref="F25:F30"/>
    <mergeCell ref="G25:G30"/>
    <mergeCell ref="S11:S12"/>
    <mergeCell ref="T11:T12"/>
    <mergeCell ref="U11:U12"/>
    <mergeCell ref="A11:A12"/>
    <mergeCell ref="B11:B12"/>
    <mergeCell ref="E11:E12"/>
    <mergeCell ref="F11:F12"/>
    <mergeCell ref="G11:G12"/>
    <mergeCell ref="N4:N5"/>
    <mergeCell ref="O4:O5"/>
    <mergeCell ref="P4:P5"/>
    <mergeCell ref="Q4:Q5"/>
    <mergeCell ref="F8:F9"/>
    <mergeCell ref="G8:G9"/>
    <mergeCell ref="R4:R5"/>
    <mergeCell ref="A7:A9"/>
    <mergeCell ref="B7:B9"/>
    <mergeCell ref="E7:E9"/>
    <mergeCell ref="R7:R8"/>
    <mergeCell ref="T2:T5"/>
    <mergeCell ref="U2:U5"/>
    <mergeCell ref="C3:G3"/>
    <mergeCell ref="H3:O3"/>
    <mergeCell ref="P3:Q3"/>
    <mergeCell ref="C4:D4"/>
    <mergeCell ref="E4:E5"/>
    <mergeCell ref="S7:S9"/>
    <mergeCell ref="T7:T9"/>
    <mergeCell ref="U7:U9"/>
    <mergeCell ref="D147:F147"/>
    <mergeCell ref="D151:I151"/>
    <mergeCell ref="D150:I150"/>
    <mergeCell ref="B153:I153"/>
    <mergeCell ref="F4:F5"/>
    <mergeCell ref="G4:G5"/>
    <mergeCell ref="H4:H5"/>
    <mergeCell ref="A1:S1"/>
    <mergeCell ref="A2:A5"/>
    <mergeCell ref="B2:B5"/>
    <mergeCell ref="C2:Q2"/>
    <mergeCell ref="R2:R3"/>
    <mergeCell ref="S2:S5"/>
    <mergeCell ref="I4:J4"/>
    <mergeCell ref="K4:K5"/>
    <mergeCell ref="L4:L5"/>
    <mergeCell ref="M4:M5"/>
    <mergeCell ref="A18:A30"/>
    <mergeCell ref="B18:B30"/>
    <mergeCell ref="C18:C24"/>
    <mergeCell ref="D18:D24"/>
    <mergeCell ref="E18:E30"/>
    <mergeCell ref="F18:F24"/>
    <mergeCell ref="G18:G24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F14CA-BC1E-470F-B430-B04CC5F18506}">
  <dimension ref="A1:AF133"/>
  <sheetViews>
    <sheetView workbookViewId="0">
      <selection activeCell="V4" sqref="V4"/>
    </sheetView>
  </sheetViews>
  <sheetFormatPr defaultColWidth="9.109375" defaultRowHeight="13.2" x14ac:dyDescent="0.25"/>
  <cols>
    <col min="1" max="1" width="16.109375" style="424" customWidth="1"/>
    <col min="2" max="2" width="30.44140625" style="417" customWidth="1"/>
    <col min="3" max="3" width="10.88671875" style="417" customWidth="1"/>
    <col min="4" max="5" width="9.109375" style="417"/>
    <col min="6" max="6" width="10.5546875" style="417" customWidth="1"/>
    <col min="7" max="8" width="9.109375" style="417"/>
    <col min="9" max="9" width="21.44140625" style="417" customWidth="1"/>
    <col min="10" max="10" width="11.44140625" style="417" customWidth="1"/>
    <col min="11" max="11" width="10.44140625" style="417" customWidth="1"/>
    <col min="12" max="12" width="11.109375" style="417" customWidth="1"/>
    <col min="13" max="13" width="15.44140625" style="417" customWidth="1"/>
    <col min="14" max="14" width="13.88671875" style="417" customWidth="1"/>
    <col min="15" max="15" width="12.6640625" style="417" customWidth="1"/>
    <col min="16" max="17" width="9.109375" style="417"/>
    <col min="18" max="18" width="14" style="417" customWidth="1"/>
    <col min="19" max="19" width="19" style="424" customWidth="1"/>
    <col min="20" max="20" width="47" style="425" customWidth="1"/>
    <col min="21" max="21" width="29.33203125" style="418" customWidth="1"/>
    <col min="22" max="16384" width="9.109375" style="417"/>
  </cols>
  <sheetData>
    <row r="1" spans="1:21" ht="18" thickBot="1" x14ac:dyDescent="0.3">
      <c r="A1" s="589" t="s">
        <v>2946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32.25" customHeight="1" thickBot="1" x14ac:dyDescent="0.3">
      <c r="A2" s="954" t="s">
        <v>342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956" t="s">
        <v>4</v>
      </c>
      <c r="S2" s="587" t="s">
        <v>5</v>
      </c>
      <c r="T2" s="587" t="s">
        <v>207</v>
      </c>
      <c r="U2" s="587" t="s">
        <v>207</v>
      </c>
    </row>
    <row r="3" spans="1:21" ht="28.2" customHeight="1" thickBot="1" x14ac:dyDescent="0.3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1124"/>
      <c r="S3" s="588"/>
      <c r="T3" s="588"/>
      <c r="U3" s="588"/>
    </row>
    <row r="4" spans="1:21" ht="48.75" customHeight="1" thickBot="1" x14ac:dyDescent="0.3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28" t="s">
        <v>21</v>
      </c>
      <c r="S4" s="588"/>
      <c r="T4" s="588"/>
      <c r="U4" s="588"/>
    </row>
    <row r="5" spans="1:21" ht="28.2" thickBot="1" x14ac:dyDescent="0.3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630"/>
      <c r="S5" s="588"/>
      <c r="T5" s="588"/>
      <c r="U5" s="588"/>
    </row>
    <row r="6" spans="1:21" ht="13.8" thickBot="1" x14ac:dyDescent="0.3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5">
        <v>21</v>
      </c>
    </row>
    <row r="7" spans="1:21" ht="13.2" customHeight="1" x14ac:dyDescent="0.25">
      <c r="A7" s="617" t="s">
        <v>2947</v>
      </c>
      <c r="B7" s="618" t="s">
        <v>2409</v>
      </c>
      <c r="C7" s="79">
        <v>0</v>
      </c>
      <c r="D7" s="79">
        <v>0.41</v>
      </c>
      <c r="E7" s="998">
        <v>0.68</v>
      </c>
      <c r="F7" s="345">
        <v>2043</v>
      </c>
      <c r="G7" s="9" t="s">
        <v>51</v>
      </c>
      <c r="H7" s="8"/>
      <c r="I7" s="8"/>
      <c r="J7" s="8"/>
      <c r="K7" s="8"/>
      <c r="L7" s="8"/>
      <c r="M7" s="8"/>
      <c r="N7" s="8"/>
      <c r="O7" s="8"/>
      <c r="P7" s="8"/>
      <c r="Q7" s="8"/>
      <c r="R7" s="632">
        <v>70820130222</v>
      </c>
      <c r="S7" s="632" t="s">
        <v>2948</v>
      </c>
      <c r="T7" s="632" t="s">
        <v>2949</v>
      </c>
      <c r="U7" s="635"/>
    </row>
    <row r="8" spans="1:21" ht="13.8" thickBot="1" x14ac:dyDescent="0.3">
      <c r="A8" s="606"/>
      <c r="B8" s="609"/>
      <c r="C8" s="46">
        <v>0.41</v>
      </c>
      <c r="D8" s="16">
        <v>0.68</v>
      </c>
      <c r="E8" s="646"/>
      <c r="F8" s="47">
        <v>1163</v>
      </c>
      <c r="G8" s="20" t="s">
        <v>32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634"/>
      <c r="S8" s="634"/>
      <c r="T8" s="634"/>
      <c r="U8" s="637"/>
    </row>
    <row r="9" spans="1:21" ht="24.6" thickBot="1" x14ac:dyDescent="0.3">
      <c r="A9" s="22" t="s">
        <v>2950</v>
      </c>
      <c r="B9" s="23" t="s">
        <v>2951</v>
      </c>
      <c r="C9" s="41">
        <v>0</v>
      </c>
      <c r="D9" s="24">
        <v>0.23</v>
      </c>
      <c r="E9" s="41">
        <v>0.23</v>
      </c>
      <c r="F9" s="4">
        <v>1021.5</v>
      </c>
      <c r="G9" s="3" t="s">
        <v>32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3">
        <v>70820130223</v>
      </c>
      <c r="S9" s="3" t="s">
        <v>2948</v>
      </c>
      <c r="T9" s="3" t="s">
        <v>2949</v>
      </c>
      <c r="U9" s="5"/>
    </row>
    <row r="10" spans="1:21" ht="24.6" thickBot="1" x14ac:dyDescent="0.3">
      <c r="A10" s="22" t="s">
        <v>2952</v>
      </c>
      <c r="B10" s="23" t="s">
        <v>2953</v>
      </c>
      <c r="C10" s="41">
        <v>0</v>
      </c>
      <c r="D10" s="24">
        <v>0.19</v>
      </c>
      <c r="E10" s="41">
        <v>0.19</v>
      </c>
      <c r="F10" s="4">
        <v>846</v>
      </c>
      <c r="G10" s="3" t="s">
        <v>32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3">
        <v>70820130224</v>
      </c>
      <c r="S10" s="3" t="s">
        <v>2948</v>
      </c>
      <c r="T10" s="3" t="s">
        <v>2949</v>
      </c>
      <c r="U10" s="5"/>
    </row>
    <row r="11" spans="1:21" x14ac:dyDescent="0.25">
      <c r="A11" s="604" t="s">
        <v>2954</v>
      </c>
      <c r="B11" s="607" t="s">
        <v>2955</v>
      </c>
      <c r="C11" s="43">
        <v>0</v>
      </c>
      <c r="D11" s="43">
        <v>0.05</v>
      </c>
      <c r="E11" s="645">
        <v>0.14000000000000001</v>
      </c>
      <c r="F11" s="44">
        <v>178</v>
      </c>
      <c r="G11" s="33" t="s">
        <v>51</v>
      </c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641">
        <v>70820130017</v>
      </c>
      <c r="S11" s="641" t="s">
        <v>2948</v>
      </c>
      <c r="T11" s="641" t="s">
        <v>2949</v>
      </c>
      <c r="U11" s="642"/>
    </row>
    <row r="12" spans="1:21" ht="13.8" thickBot="1" x14ac:dyDescent="0.3">
      <c r="A12" s="606"/>
      <c r="B12" s="609"/>
      <c r="C12" s="46">
        <v>0.05</v>
      </c>
      <c r="D12" s="46">
        <v>0.14000000000000001</v>
      </c>
      <c r="E12" s="646"/>
      <c r="F12" s="47">
        <v>304</v>
      </c>
      <c r="G12" s="20" t="s">
        <v>32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634"/>
      <c r="S12" s="634"/>
      <c r="T12" s="634"/>
      <c r="U12" s="637"/>
    </row>
    <row r="13" spans="1:21" ht="24.6" thickBot="1" x14ac:dyDescent="0.3">
      <c r="A13" s="22" t="s">
        <v>2956</v>
      </c>
      <c r="B13" s="23" t="s">
        <v>2957</v>
      </c>
      <c r="C13" s="41">
        <v>0</v>
      </c>
      <c r="D13" s="41">
        <v>0.11</v>
      </c>
      <c r="E13" s="41">
        <v>0.11</v>
      </c>
      <c r="F13" s="4">
        <v>530</v>
      </c>
      <c r="G13" s="3" t="s">
        <v>51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3">
        <v>70820130226</v>
      </c>
      <c r="S13" s="3" t="s">
        <v>2948</v>
      </c>
      <c r="T13" s="3" t="s">
        <v>2949</v>
      </c>
      <c r="U13" s="5" t="s">
        <v>67</v>
      </c>
    </row>
    <row r="14" spans="1:21" ht="24.6" thickBot="1" x14ac:dyDescent="0.3">
      <c r="A14" s="22" t="s">
        <v>2958</v>
      </c>
      <c r="B14" s="23" t="s">
        <v>2959</v>
      </c>
      <c r="C14" s="41">
        <v>0</v>
      </c>
      <c r="D14" s="41">
        <v>0.13</v>
      </c>
      <c r="E14" s="41">
        <v>0.13</v>
      </c>
      <c r="F14" s="4">
        <v>603</v>
      </c>
      <c r="G14" s="3" t="s">
        <v>51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3">
        <v>70820130227</v>
      </c>
      <c r="S14" s="3" t="s">
        <v>2948</v>
      </c>
      <c r="T14" s="3" t="s">
        <v>2949</v>
      </c>
      <c r="U14" s="5"/>
    </row>
    <row r="15" spans="1:21" x14ac:dyDescent="0.25">
      <c r="A15" s="604" t="s">
        <v>2960</v>
      </c>
      <c r="B15" s="607" t="s">
        <v>2961</v>
      </c>
      <c r="C15" s="645">
        <v>0</v>
      </c>
      <c r="D15" s="645">
        <v>0.22</v>
      </c>
      <c r="E15" s="645">
        <v>0.64</v>
      </c>
      <c r="F15" s="641">
        <v>2243</v>
      </c>
      <c r="G15" s="641" t="s">
        <v>51</v>
      </c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 t="s">
        <v>2962</v>
      </c>
      <c r="S15" s="641" t="s">
        <v>2948</v>
      </c>
      <c r="T15" s="641" t="s">
        <v>2949</v>
      </c>
      <c r="U15" s="35"/>
    </row>
    <row r="16" spans="1:21" ht="14.4" customHeight="1" x14ac:dyDescent="0.25">
      <c r="A16" s="605"/>
      <c r="B16" s="608"/>
      <c r="C16" s="654"/>
      <c r="D16" s="654"/>
      <c r="E16" s="654"/>
      <c r="F16" s="633"/>
      <c r="G16" s="633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 t="s">
        <v>2963</v>
      </c>
      <c r="S16" s="633"/>
      <c r="T16" s="633"/>
      <c r="U16" s="15"/>
    </row>
    <row r="17" spans="1:21" ht="14.4" customHeight="1" x14ac:dyDescent="0.25">
      <c r="A17" s="605"/>
      <c r="B17" s="608"/>
      <c r="C17" s="654"/>
      <c r="D17" s="654"/>
      <c r="E17" s="654"/>
      <c r="F17" s="633"/>
      <c r="G17" s="633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 t="s">
        <v>2964</v>
      </c>
      <c r="S17" s="633"/>
      <c r="T17" s="633"/>
      <c r="U17" s="15"/>
    </row>
    <row r="18" spans="1:21" ht="14.4" customHeight="1" x14ac:dyDescent="0.25">
      <c r="A18" s="605"/>
      <c r="B18" s="608"/>
      <c r="C18" s="654"/>
      <c r="D18" s="654"/>
      <c r="E18" s="654"/>
      <c r="F18" s="633"/>
      <c r="G18" s="633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 t="s">
        <v>2965</v>
      </c>
      <c r="S18" s="633"/>
      <c r="T18" s="633"/>
      <c r="U18" s="15"/>
    </row>
    <row r="19" spans="1:21" ht="14.4" customHeight="1" x14ac:dyDescent="0.25">
      <c r="A19" s="605"/>
      <c r="B19" s="608"/>
      <c r="C19" s="48">
        <v>0.22</v>
      </c>
      <c r="D19" s="48">
        <v>0.5</v>
      </c>
      <c r="E19" s="654"/>
      <c r="F19" s="633"/>
      <c r="G19" s="633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>
        <v>70820130301</v>
      </c>
      <c r="S19" s="633"/>
      <c r="T19" s="633"/>
      <c r="U19" s="15"/>
    </row>
    <row r="20" spans="1:21" ht="14.4" customHeight="1" x14ac:dyDescent="0.25">
      <c r="A20" s="605"/>
      <c r="B20" s="608"/>
      <c r="C20" s="654">
        <v>0.5</v>
      </c>
      <c r="D20" s="654">
        <v>0.64</v>
      </c>
      <c r="E20" s="654"/>
      <c r="F20" s="633"/>
      <c r="G20" s="633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 t="s">
        <v>2966</v>
      </c>
      <c r="S20" s="633"/>
      <c r="T20" s="633"/>
      <c r="U20" s="15"/>
    </row>
    <row r="21" spans="1:21" ht="14.4" customHeight="1" x14ac:dyDescent="0.25">
      <c r="A21" s="605"/>
      <c r="B21" s="608"/>
      <c r="C21" s="654"/>
      <c r="D21" s="654"/>
      <c r="E21" s="654"/>
      <c r="F21" s="633"/>
      <c r="G21" s="633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 t="s">
        <v>2967</v>
      </c>
      <c r="S21" s="633"/>
      <c r="T21" s="633"/>
      <c r="U21" s="15"/>
    </row>
    <row r="22" spans="1:21" ht="14.4" customHeight="1" x14ac:dyDescent="0.25">
      <c r="A22" s="605"/>
      <c r="B22" s="608"/>
      <c r="C22" s="654"/>
      <c r="D22" s="654"/>
      <c r="E22" s="654"/>
      <c r="F22" s="633"/>
      <c r="G22" s="633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 t="s">
        <v>2968</v>
      </c>
      <c r="S22" s="633"/>
      <c r="T22" s="633"/>
      <c r="U22" s="15"/>
    </row>
    <row r="23" spans="1:21" ht="14.4" customHeight="1" x14ac:dyDescent="0.25">
      <c r="A23" s="605"/>
      <c r="B23" s="608"/>
      <c r="C23" s="654"/>
      <c r="D23" s="654"/>
      <c r="E23" s="654"/>
      <c r="F23" s="633"/>
      <c r="G23" s="633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 t="s">
        <v>2969</v>
      </c>
      <c r="S23" s="633"/>
      <c r="T23" s="633"/>
      <c r="U23" s="15"/>
    </row>
    <row r="24" spans="1:21" ht="14.4" customHeight="1" x14ac:dyDescent="0.25">
      <c r="A24" s="605"/>
      <c r="B24" s="608"/>
      <c r="C24" s="654"/>
      <c r="D24" s="654"/>
      <c r="E24" s="654"/>
      <c r="F24" s="633"/>
      <c r="G24" s="633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 t="s">
        <v>2970</v>
      </c>
      <c r="S24" s="633"/>
      <c r="T24" s="633"/>
      <c r="U24" s="15"/>
    </row>
    <row r="25" spans="1:21" ht="14.4" customHeight="1" x14ac:dyDescent="0.25">
      <c r="A25" s="605"/>
      <c r="B25" s="608"/>
      <c r="C25" s="654"/>
      <c r="D25" s="654"/>
      <c r="E25" s="654"/>
      <c r="F25" s="633"/>
      <c r="G25" s="63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 t="s">
        <v>2971</v>
      </c>
      <c r="S25" s="633"/>
      <c r="T25" s="633"/>
      <c r="U25" s="15"/>
    </row>
    <row r="26" spans="1:21" ht="14.4" customHeight="1" x14ac:dyDescent="0.25">
      <c r="A26" s="605"/>
      <c r="B26" s="608"/>
      <c r="C26" s="654"/>
      <c r="D26" s="654"/>
      <c r="E26" s="654"/>
      <c r="F26" s="633"/>
      <c r="G26" s="633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 t="s">
        <v>2972</v>
      </c>
      <c r="S26" s="633"/>
      <c r="T26" s="633"/>
      <c r="U26" s="15"/>
    </row>
    <row r="27" spans="1:21" ht="14.4" customHeight="1" x14ac:dyDescent="0.25">
      <c r="A27" s="605"/>
      <c r="B27" s="608"/>
      <c r="C27" s="654"/>
      <c r="D27" s="654"/>
      <c r="E27" s="654"/>
      <c r="F27" s="633"/>
      <c r="G27" s="633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 t="s">
        <v>2965</v>
      </c>
      <c r="S27" s="633"/>
      <c r="T27" s="633"/>
      <c r="U27" s="15"/>
    </row>
    <row r="28" spans="1:21" ht="14.4" customHeight="1" x14ac:dyDescent="0.25">
      <c r="A28" s="605"/>
      <c r="B28" s="608"/>
      <c r="C28" s="654"/>
      <c r="D28" s="654"/>
      <c r="E28" s="654"/>
      <c r="F28" s="633"/>
      <c r="G28" s="633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 t="s">
        <v>2973</v>
      </c>
      <c r="S28" s="633"/>
      <c r="T28" s="633"/>
      <c r="U28" s="15"/>
    </row>
    <row r="29" spans="1:21" ht="14.4" customHeight="1" x14ac:dyDescent="0.25">
      <c r="A29" s="605"/>
      <c r="B29" s="608"/>
      <c r="C29" s="654"/>
      <c r="D29" s="654"/>
      <c r="E29" s="654"/>
      <c r="F29" s="633"/>
      <c r="G29" s="633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 t="s">
        <v>2964</v>
      </c>
      <c r="S29" s="633"/>
      <c r="T29" s="633"/>
      <c r="U29" s="15"/>
    </row>
    <row r="30" spans="1:21" ht="13.8" thickBot="1" x14ac:dyDescent="0.3">
      <c r="A30" s="606"/>
      <c r="B30" s="609"/>
      <c r="C30" s="646"/>
      <c r="D30" s="646"/>
      <c r="E30" s="646"/>
      <c r="F30" s="634"/>
      <c r="G30" s="634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 t="s">
        <v>2962</v>
      </c>
      <c r="S30" s="634"/>
      <c r="T30" s="634"/>
      <c r="U30" s="21"/>
    </row>
    <row r="31" spans="1:21" ht="12.75" customHeight="1" x14ac:dyDescent="0.25">
      <c r="A31" s="604" t="s">
        <v>2974</v>
      </c>
      <c r="B31" s="607" t="s">
        <v>48</v>
      </c>
      <c r="C31" s="645">
        <v>0</v>
      </c>
      <c r="D31" s="645">
        <v>0.08</v>
      </c>
      <c r="E31" s="645">
        <v>0.43</v>
      </c>
      <c r="F31" s="647">
        <v>283.5</v>
      </c>
      <c r="G31" s="641" t="s">
        <v>51</v>
      </c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3" t="s">
        <v>2975</v>
      </c>
      <c r="S31" s="641" t="s">
        <v>2948</v>
      </c>
      <c r="T31" s="641" t="s">
        <v>2949</v>
      </c>
      <c r="U31" s="642"/>
    </row>
    <row r="32" spans="1:21" ht="12.75" customHeight="1" x14ac:dyDescent="0.25">
      <c r="A32" s="605"/>
      <c r="B32" s="608"/>
      <c r="C32" s="654"/>
      <c r="D32" s="654"/>
      <c r="E32" s="654"/>
      <c r="F32" s="655"/>
      <c r="G32" s="6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4">
        <v>70820130306</v>
      </c>
      <c r="S32" s="633"/>
      <c r="T32" s="633"/>
      <c r="U32" s="636"/>
    </row>
    <row r="33" spans="1:21" ht="13.2" customHeight="1" x14ac:dyDescent="0.25">
      <c r="A33" s="605"/>
      <c r="B33" s="608"/>
      <c r="C33" s="654">
        <v>0.08</v>
      </c>
      <c r="D33" s="654">
        <v>0.24</v>
      </c>
      <c r="E33" s="654"/>
      <c r="F33" s="633">
        <v>576</v>
      </c>
      <c r="G33" s="633" t="s">
        <v>32</v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>
        <v>70820130306</v>
      </c>
      <c r="S33" s="633"/>
      <c r="T33" s="633"/>
      <c r="U33" s="636"/>
    </row>
    <row r="34" spans="1:21" ht="13.2" customHeight="1" x14ac:dyDescent="0.25">
      <c r="A34" s="605"/>
      <c r="B34" s="608"/>
      <c r="C34" s="654"/>
      <c r="D34" s="654"/>
      <c r="E34" s="654"/>
      <c r="F34" s="633"/>
      <c r="G34" s="633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 t="s">
        <v>2976</v>
      </c>
      <c r="S34" s="633"/>
      <c r="T34" s="633"/>
      <c r="U34" s="636"/>
    </row>
    <row r="35" spans="1:21" ht="13.2" customHeight="1" x14ac:dyDescent="0.25">
      <c r="A35" s="605"/>
      <c r="B35" s="608"/>
      <c r="C35" s="654"/>
      <c r="D35" s="654"/>
      <c r="E35" s="654"/>
      <c r="F35" s="633"/>
      <c r="G35" s="633"/>
      <c r="H35" s="37"/>
      <c r="I35" s="14"/>
      <c r="J35" s="14"/>
      <c r="K35" s="14"/>
      <c r="L35" s="14"/>
      <c r="M35" s="14"/>
      <c r="N35" s="14"/>
      <c r="O35" s="14"/>
      <c r="P35" s="14"/>
      <c r="Q35" s="14"/>
      <c r="R35" s="14" t="s">
        <v>2977</v>
      </c>
      <c r="S35" s="633"/>
      <c r="T35" s="633"/>
      <c r="U35" s="636"/>
    </row>
    <row r="36" spans="1:21" ht="13.2" customHeight="1" x14ac:dyDescent="0.25">
      <c r="A36" s="605"/>
      <c r="B36" s="608"/>
      <c r="C36" s="654"/>
      <c r="D36" s="654"/>
      <c r="E36" s="654"/>
      <c r="F36" s="633"/>
      <c r="G36" s="633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 t="s">
        <v>2978</v>
      </c>
      <c r="S36" s="633"/>
      <c r="T36" s="633"/>
      <c r="U36" s="636"/>
    </row>
    <row r="37" spans="1:21" ht="13.2" customHeight="1" x14ac:dyDescent="0.25">
      <c r="A37" s="605"/>
      <c r="B37" s="608"/>
      <c r="C37" s="654">
        <v>0.24</v>
      </c>
      <c r="D37" s="654">
        <v>0.3</v>
      </c>
      <c r="E37" s="654"/>
      <c r="F37" s="633">
        <v>210</v>
      </c>
      <c r="G37" s="633" t="s">
        <v>32</v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 t="s">
        <v>2975</v>
      </c>
      <c r="S37" s="633"/>
      <c r="T37" s="633"/>
      <c r="U37" s="636"/>
    </row>
    <row r="38" spans="1:21" ht="13.2" customHeight="1" x14ac:dyDescent="0.25">
      <c r="A38" s="605"/>
      <c r="B38" s="608"/>
      <c r="C38" s="654"/>
      <c r="D38" s="654"/>
      <c r="E38" s="654"/>
      <c r="F38" s="633"/>
      <c r="G38" s="63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 t="s">
        <v>2979</v>
      </c>
      <c r="S38" s="633"/>
      <c r="T38" s="633"/>
      <c r="U38" s="636"/>
    </row>
    <row r="39" spans="1:21" ht="13.2" customHeight="1" x14ac:dyDescent="0.25">
      <c r="A39" s="605"/>
      <c r="B39" s="608"/>
      <c r="C39" s="654"/>
      <c r="D39" s="654"/>
      <c r="E39" s="654"/>
      <c r="F39" s="633"/>
      <c r="G39" s="633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 t="s">
        <v>2980</v>
      </c>
      <c r="S39" s="633"/>
      <c r="T39" s="633"/>
      <c r="U39" s="636"/>
    </row>
    <row r="40" spans="1:21" ht="13.2" customHeight="1" thickBot="1" x14ac:dyDescent="0.3">
      <c r="A40" s="606"/>
      <c r="B40" s="609"/>
      <c r="C40" s="46">
        <v>0.3</v>
      </c>
      <c r="D40" s="46">
        <v>0.43</v>
      </c>
      <c r="E40" s="646"/>
      <c r="F40" s="20">
        <v>200</v>
      </c>
      <c r="G40" s="20" t="s">
        <v>32</v>
      </c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>
        <v>70820130306</v>
      </c>
      <c r="S40" s="634"/>
      <c r="T40" s="634"/>
      <c r="U40" s="637"/>
    </row>
    <row r="41" spans="1:21" ht="24.6" thickBot="1" x14ac:dyDescent="0.3">
      <c r="A41" s="22" t="s">
        <v>2981</v>
      </c>
      <c r="B41" s="23" t="s">
        <v>2586</v>
      </c>
      <c r="C41" s="41">
        <v>0</v>
      </c>
      <c r="D41" s="24">
        <v>0.23</v>
      </c>
      <c r="E41" s="41">
        <v>0.23</v>
      </c>
      <c r="F41" s="4">
        <v>1049</v>
      </c>
      <c r="G41" s="3" t="s">
        <v>51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3">
        <v>70820130225</v>
      </c>
      <c r="S41" s="3" t="s">
        <v>2948</v>
      </c>
      <c r="T41" s="3" t="s">
        <v>2949</v>
      </c>
      <c r="U41" s="5"/>
    </row>
    <row r="42" spans="1:21" ht="24.6" thickBot="1" x14ac:dyDescent="0.3">
      <c r="A42" s="22" t="s">
        <v>2982</v>
      </c>
      <c r="B42" s="23" t="s">
        <v>2983</v>
      </c>
      <c r="C42" s="41">
        <v>0</v>
      </c>
      <c r="D42" s="24">
        <v>0.57999999999999996</v>
      </c>
      <c r="E42" s="41">
        <v>0.57999999999999996</v>
      </c>
      <c r="F42" s="4">
        <v>2915</v>
      </c>
      <c r="G42" s="3" t="s">
        <v>32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3">
        <v>70820040202</v>
      </c>
      <c r="S42" s="3" t="s">
        <v>2984</v>
      </c>
      <c r="T42" s="3" t="s">
        <v>2949</v>
      </c>
      <c r="U42" s="5"/>
    </row>
    <row r="43" spans="1:21" ht="12.75" customHeight="1" x14ac:dyDescent="0.25">
      <c r="A43" s="604" t="s">
        <v>2985</v>
      </c>
      <c r="B43" s="607" t="s">
        <v>2227</v>
      </c>
      <c r="C43" s="645">
        <v>0</v>
      </c>
      <c r="D43" s="645">
        <v>0.24</v>
      </c>
      <c r="E43" s="645">
        <v>0.24</v>
      </c>
      <c r="F43" s="647">
        <v>1185</v>
      </c>
      <c r="G43" s="640" t="s">
        <v>32</v>
      </c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3" t="s">
        <v>2986</v>
      </c>
      <c r="S43" s="641" t="s">
        <v>2984</v>
      </c>
      <c r="T43" s="641" t="s">
        <v>2949</v>
      </c>
      <c r="U43" s="642"/>
    </row>
    <row r="44" spans="1:21" ht="12.75" customHeight="1" x14ac:dyDescent="0.25">
      <c r="A44" s="605"/>
      <c r="B44" s="608"/>
      <c r="C44" s="654"/>
      <c r="D44" s="654"/>
      <c r="E44" s="654"/>
      <c r="F44" s="655"/>
      <c r="G44" s="621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4" t="s">
        <v>2987</v>
      </c>
      <c r="S44" s="633"/>
      <c r="T44" s="633"/>
      <c r="U44" s="636"/>
    </row>
    <row r="45" spans="1:21" ht="12.75" customHeight="1" x14ac:dyDescent="0.25">
      <c r="A45" s="605"/>
      <c r="B45" s="608"/>
      <c r="C45" s="654"/>
      <c r="D45" s="654"/>
      <c r="E45" s="654"/>
      <c r="F45" s="655"/>
      <c r="G45" s="621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4" t="s">
        <v>2988</v>
      </c>
      <c r="S45" s="633"/>
      <c r="T45" s="633"/>
      <c r="U45" s="636"/>
    </row>
    <row r="46" spans="1:21" ht="12.75" customHeight="1" x14ac:dyDescent="0.25">
      <c r="A46" s="605"/>
      <c r="B46" s="608"/>
      <c r="C46" s="654"/>
      <c r="D46" s="654"/>
      <c r="E46" s="654"/>
      <c r="F46" s="655"/>
      <c r="G46" s="621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4" t="s">
        <v>2989</v>
      </c>
      <c r="S46" s="633"/>
      <c r="T46" s="633"/>
      <c r="U46" s="636"/>
    </row>
    <row r="47" spans="1:21" x14ac:dyDescent="0.25">
      <c r="A47" s="605"/>
      <c r="B47" s="608"/>
      <c r="C47" s="654"/>
      <c r="D47" s="654"/>
      <c r="E47" s="654"/>
      <c r="F47" s="655"/>
      <c r="G47" s="621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4" t="s">
        <v>2990</v>
      </c>
      <c r="S47" s="633"/>
      <c r="T47" s="633"/>
      <c r="U47" s="636"/>
    </row>
    <row r="48" spans="1:21" ht="13.8" thickBot="1" x14ac:dyDescent="0.3">
      <c r="A48" s="606"/>
      <c r="B48" s="609"/>
      <c r="C48" s="646"/>
      <c r="D48" s="646"/>
      <c r="E48" s="646"/>
      <c r="F48" s="648"/>
      <c r="G48" s="631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20" t="s">
        <v>2991</v>
      </c>
      <c r="S48" s="634"/>
      <c r="T48" s="634"/>
      <c r="U48" s="637"/>
    </row>
    <row r="49" spans="1:21" ht="24.6" thickBot="1" x14ac:dyDescent="0.3">
      <c r="A49" s="22" t="s">
        <v>2992</v>
      </c>
      <c r="B49" s="23" t="s">
        <v>2993</v>
      </c>
      <c r="C49" s="41">
        <v>0</v>
      </c>
      <c r="D49" s="41">
        <v>0.12</v>
      </c>
      <c r="E49" s="41">
        <v>0.12</v>
      </c>
      <c r="F49" s="25">
        <v>522</v>
      </c>
      <c r="G49" s="27" t="s">
        <v>32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3">
        <v>70820040203</v>
      </c>
      <c r="S49" s="3" t="s">
        <v>2984</v>
      </c>
      <c r="T49" s="3" t="s">
        <v>2949</v>
      </c>
      <c r="U49" s="5"/>
    </row>
    <row r="50" spans="1:21" ht="15" customHeight="1" x14ac:dyDescent="0.25">
      <c r="A50" s="604" t="s">
        <v>2994</v>
      </c>
      <c r="B50" s="607" t="s">
        <v>2995</v>
      </c>
      <c r="C50" s="43">
        <v>0</v>
      </c>
      <c r="D50" s="43">
        <v>2.16</v>
      </c>
      <c r="E50" s="645">
        <v>5.52</v>
      </c>
      <c r="F50" s="640">
        <v>35880</v>
      </c>
      <c r="G50" s="640" t="s">
        <v>32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3">
        <v>70820040176</v>
      </c>
      <c r="S50" s="641"/>
      <c r="T50" s="641" t="s">
        <v>2949</v>
      </c>
      <c r="U50" s="642" t="s">
        <v>67</v>
      </c>
    </row>
    <row r="51" spans="1:21" ht="13.8" thickBot="1" x14ac:dyDescent="0.3">
      <c r="A51" s="606"/>
      <c r="B51" s="609"/>
      <c r="C51" s="46">
        <v>2.16</v>
      </c>
      <c r="D51" s="16">
        <v>5.52</v>
      </c>
      <c r="E51" s="646"/>
      <c r="F51" s="631"/>
      <c r="G51" s="631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20">
        <v>70820100076</v>
      </c>
      <c r="S51" s="634"/>
      <c r="T51" s="634"/>
      <c r="U51" s="637"/>
    </row>
    <row r="52" spans="1:21" ht="24.6" thickBot="1" x14ac:dyDescent="0.3">
      <c r="A52" s="40" t="s">
        <v>2996</v>
      </c>
      <c r="B52" s="23" t="s">
        <v>2997</v>
      </c>
      <c r="C52" s="41">
        <v>0</v>
      </c>
      <c r="D52" s="41">
        <v>1.6</v>
      </c>
      <c r="E52" s="41">
        <f>D52-C52</f>
        <v>1.6</v>
      </c>
      <c r="F52" s="4">
        <v>9600</v>
      </c>
      <c r="G52" s="3" t="s">
        <v>32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>
        <v>70820120146</v>
      </c>
      <c r="S52" s="3"/>
      <c r="T52" s="3" t="s">
        <v>2949</v>
      </c>
      <c r="U52" s="5"/>
    </row>
    <row r="53" spans="1:21" ht="24.6" thickBot="1" x14ac:dyDescent="0.3">
      <c r="A53" s="40" t="s">
        <v>2998</v>
      </c>
      <c r="B53" s="23" t="s">
        <v>2999</v>
      </c>
      <c r="C53" s="41">
        <v>0</v>
      </c>
      <c r="D53" s="41">
        <v>2.7519999999999998</v>
      </c>
      <c r="E53" s="41">
        <f>D53-C53</f>
        <v>2.7519999999999998</v>
      </c>
      <c r="F53" s="4">
        <v>15125</v>
      </c>
      <c r="G53" s="3" t="s">
        <v>32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>
        <v>70820120144</v>
      </c>
      <c r="S53" s="3"/>
      <c r="T53" s="3" t="s">
        <v>2949</v>
      </c>
      <c r="U53" s="5"/>
    </row>
    <row r="54" spans="1:21" ht="14.4" customHeight="1" x14ac:dyDescent="0.25">
      <c r="A54" s="643" t="s">
        <v>3000</v>
      </c>
      <c r="B54" s="607" t="s">
        <v>3001</v>
      </c>
      <c r="C54" s="43">
        <v>0</v>
      </c>
      <c r="D54" s="30">
        <v>3.7120000000000002</v>
      </c>
      <c r="E54" s="645">
        <v>4.5789999999999997</v>
      </c>
      <c r="F54" s="647">
        <v>27480</v>
      </c>
      <c r="G54" s="641" t="s">
        <v>32</v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3">
        <v>70820120145</v>
      </c>
      <c r="S54" s="641"/>
      <c r="T54" s="641" t="s">
        <v>2949</v>
      </c>
      <c r="U54" s="642"/>
    </row>
    <row r="55" spans="1:21" ht="13.8" thickBot="1" x14ac:dyDescent="0.3">
      <c r="A55" s="644"/>
      <c r="B55" s="609"/>
      <c r="C55" s="16">
        <v>3.7120000000000002</v>
      </c>
      <c r="D55" s="16">
        <v>4.5789999999999997</v>
      </c>
      <c r="E55" s="646"/>
      <c r="F55" s="648"/>
      <c r="G55" s="634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20">
        <v>70820080054</v>
      </c>
      <c r="S55" s="634"/>
      <c r="T55" s="634"/>
      <c r="U55" s="637"/>
    </row>
    <row r="56" spans="1:21" ht="13.2" customHeight="1" x14ac:dyDescent="0.25">
      <c r="A56" s="604" t="s">
        <v>3002</v>
      </c>
      <c r="B56" s="607" t="s">
        <v>3003</v>
      </c>
      <c r="C56" s="43">
        <v>0</v>
      </c>
      <c r="D56" s="43">
        <v>0.57999999999999996</v>
      </c>
      <c r="E56" s="645">
        <v>1.82</v>
      </c>
      <c r="F56" s="641">
        <v>10010</v>
      </c>
      <c r="G56" s="641" t="s">
        <v>32</v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3">
        <v>70820110101</v>
      </c>
      <c r="S56" s="641"/>
      <c r="T56" s="641" t="s">
        <v>2949</v>
      </c>
      <c r="U56" s="642"/>
    </row>
    <row r="57" spans="1:21" ht="13.2" customHeight="1" x14ac:dyDescent="0.25">
      <c r="A57" s="605"/>
      <c r="B57" s="608"/>
      <c r="C57" s="48">
        <v>0.57999999999999996</v>
      </c>
      <c r="D57" s="48">
        <v>0.7</v>
      </c>
      <c r="E57" s="654"/>
      <c r="F57" s="633"/>
      <c r="G57" s="63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4" t="s">
        <v>3004</v>
      </c>
      <c r="S57" s="633"/>
      <c r="T57" s="633"/>
      <c r="U57" s="636"/>
    </row>
    <row r="58" spans="1:21" ht="13.2" customHeight="1" x14ac:dyDescent="0.25">
      <c r="A58" s="605"/>
      <c r="B58" s="608"/>
      <c r="C58" s="48">
        <v>0.7</v>
      </c>
      <c r="D58" s="48">
        <v>1.44</v>
      </c>
      <c r="E58" s="654"/>
      <c r="F58" s="633"/>
      <c r="G58" s="63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4">
        <v>70820110128</v>
      </c>
      <c r="S58" s="633"/>
      <c r="T58" s="633"/>
      <c r="U58" s="636"/>
    </row>
    <row r="59" spans="1:21" ht="13.2" customHeight="1" x14ac:dyDescent="0.25">
      <c r="A59" s="605"/>
      <c r="B59" s="608"/>
      <c r="C59" s="48">
        <v>1.44</v>
      </c>
      <c r="D59" s="48">
        <v>1.55</v>
      </c>
      <c r="E59" s="654"/>
      <c r="F59" s="633"/>
      <c r="G59" s="63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4" t="s">
        <v>3005</v>
      </c>
      <c r="S59" s="633"/>
      <c r="T59" s="633"/>
      <c r="U59" s="636"/>
    </row>
    <row r="60" spans="1:21" ht="13.8" thickBot="1" x14ac:dyDescent="0.3">
      <c r="A60" s="606"/>
      <c r="B60" s="609"/>
      <c r="C60" s="46">
        <v>1.55</v>
      </c>
      <c r="D60" s="46">
        <v>1.82</v>
      </c>
      <c r="E60" s="646"/>
      <c r="F60" s="634"/>
      <c r="G60" s="634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20">
        <v>70820110129</v>
      </c>
      <c r="S60" s="634"/>
      <c r="T60" s="634"/>
      <c r="U60" s="637"/>
    </row>
    <row r="61" spans="1:21" ht="13.2" customHeight="1" x14ac:dyDescent="0.25">
      <c r="A61" s="604" t="s">
        <v>3006</v>
      </c>
      <c r="B61" s="607" t="s">
        <v>3007</v>
      </c>
      <c r="C61" s="43">
        <v>0</v>
      </c>
      <c r="D61" s="43">
        <v>1.39</v>
      </c>
      <c r="E61" s="610">
        <v>7.7370000000000001</v>
      </c>
      <c r="F61" s="640">
        <v>61920</v>
      </c>
      <c r="G61" s="640" t="s">
        <v>32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3">
        <v>70820020046</v>
      </c>
      <c r="S61" s="641"/>
      <c r="T61" s="641" t="s">
        <v>2949</v>
      </c>
      <c r="U61" s="642"/>
    </row>
    <row r="62" spans="1:21" ht="13.2" customHeight="1" x14ac:dyDescent="0.25">
      <c r="A62" s="605"/>
      <c r="B62" s="608"/>
      <c r="C62" s="48">
        <v>1.39</v>
      </c>
      <c r="D62" s="48">
        <v>5.64</v>
      </c>
      <c r="E62" s="611"/>
      <c r="F62" s="621"/>
      <c r="G62" s="621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4">
        <v>70820010077</v>
      </c>
      <c r="S62" s="633"/>
      <c r="T62" s="633"/>
      <c r="U62" s="636"/>
    </row>
    <row r="63" spans="1:21" ht="13.8" thickBot="1" x14ac:dyDescent="0.3">
      <c r="A63" s="606"/>
      <c r="B63" s="609"/>
      <c r="C63" s="46">
        <v>5.64</v>
      </c>
      <c r="D63" s="16">
        <v>7.7370000000000001</v>
      </c>
      <c r="E63" s="612"/>
      <c r="F63" s="631"/>
      <c r="G63" s="631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20">
        <v>70820070084</v>
      </c>
      <c r="S63" s="634"/>
      <c r="T63" s="634"/>
      <c r="U63" s="637"/>
    </row>
    <row r="64" spans="1:21" ht="13.2" customHeight="1" x14ac:dyDescent="0.25">
      <c r="A64" s="604" t="s">
        <v>3008</v>
      </c>
      <c r="B64" s="607" t="s">
        <v>3009</v>
      </c>
      <c r="C64" s="43">
        <v>0</v>
      </c>
      <c r="D64" s="43">
        <v>1.39</v>
      </c>
      <c r="E64" s="645">
        <v>5.6269999999999998</v>
      </c>
      <c r="F64" s="640">
        <v>30948</v>
      </c>
      <c r="G64" s="640" t="s">
        <v>32</v>
      </c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3">
        <v>70820050058</v>
      </c>
      <c r="S64" s="641"/>
      <c r="T64" s="641" t="s">
        <v>2949</v>
      </c>
      <c r="U64" s="642"/>
    </row>
    <row r="65" spans="1:22" ht="13.8" thickBot="1" x14ac:dyDescent="0.3">
      <c r="A65" s="606"/>
      <c r="B65" s="609"/>
      <c r="C65" s="46">
        <v>1.39</v>
      </c>
      <c r="D65" s="16">
        <v>5.6269999999999998</v>
      </c>
      <c r="E65" s="646"/>
      <c r="F65" s="631"/>
      <c r="G65" s="631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20">
        <v>70820060080</v>
      </c>
      <c r="S65" s="634"/>
      <c r="T65" s="634"/>
      <c r="U65" s="637"/>
    </row>
    <row r="66" spans="1:22" ht="24.6" thickBot="1" x14ac:dyDescent="0.3">
      <c r="A66" s="40" t="s">
        <v>3010</v>
      </c>
      <c r="B66" s="305" t="s">
        <v>3011</v>
      </c>
      <c r="C66" s="24">
        <v>0</v>
      </c>
      <c r="D66" s="24">
        <v>1.06</v>
      </c>
      <c r="E66" s="24">
        <v>1.06</v>
      </c>
      <c r="F66" s="27">
        <v>6360</v>
      </c>
      <c r="G66" s="3" t="s">
        <v>32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3">
        <v>70820060130</v>
      </c>
      <c r="S66" s="3"/>
      <c r="T66" s="3" t="s">
        <v>2949</v>
      </c>
      <c r="U66" s="5"/>
    </row>
    <row r="67" spans="1:22" ht="15" customHeight="1" x14ac:dyDescent="0.25">
      <c r="A67" s="643" t="s">
        <v>3012</v>
      </c>
      <c r="B67" s="607" t="s">
        <v>3013</v>
      </c>
      <c r="C67" s="43">
        <v>0</v>
      </c>
      <c r="D67" s="43">
        <v>2.86</v>
      </c>
      <c r="E67" s="645">
        <v>3.69</v>
      </c>
      <c r="F67" s="647">
        <v>18450</v>
      </c>
      <c r="G67" s="641" t="s">
        <v>32</v>
      </c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3">
        <v>70820040128</v>
      </c>
      <c r="S67" s="641"/>
      <c r="T67" s="641" t="s">
        <v>2949</v>
      </c>
      <c r="U67" s="642"/>
    </row>
    <row r="68" spans="1:22" ht="13.8" thickBot="1" x14ac:dyDescent="0.3">
      <c r="A68" s="644"/>
      <c r="B68" s="609"/>
      <c r="C68" s="46">
        <v>2.86</v>
      </c>
      <c r="D68" s="46">
        <v>3.69</v>
      </c>
      <c r="E68" s="646"/>
      <c r="F68" s="648"/>
      <c r="G68" s="634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20">
        <v>70820010089</v>
      </c>
      <c r="S68" s="634"/>
      <c r="T68" s="634"/>
      <c r="U68" s="637"/>
    </row>
    <row r="69" spans="1:22" ht="13.2" customHeight="1" x14ac:dyDescent="0.25">
      <c r="A69" s="604" t="s">
        <v>3014</v>
      </c>
      <c r="B69" s="607" t="s">
        <v>3015</v>
      </c>
      <c r="C69" s="43">
        <v>0</v>
      </c>
      <c r="D69" s="43">
        <v>0.44</v>
      </c>
      <c r="E69" s="645">
        <v>1.02</v>
      </c>
      <c r="F69" s="647">
        <v>6120</v>
      </c>
      <c r="G69" s="641" t="s">
        <v>32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3">
        <v>70820130220</v>
      </c>
      <c r="S69" s="641"/>
      <c r="T69" s="641" t="s">
        <v>2949</v>
      </c>
      <c r="U69" s="642"/>
    </row>
    <row r="70" spans="1:22" ht="13.2" customHeight="1" x14ac:dyDescent="0.25">
      <c r="A70" s="605"/>
      <c r="B70" s="608"/>
      <c r="C70" s="48">
        <v>0.44</v>
      </c>
      <c r="D70" s="48">
        <v>0.59</v>
      </c>
      <c r="E70" s="654"/>
      <c r="F70" s="655"/>
      <c r="G70" s="63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 t="s">
        <v>3016</v>
      </c>
      <c r="S70" s="633"/>
      <c r="T70" s="633"/>
      <c r="U70" s="636"/>
    </row>
    <row r="71" spans="1:22" ht="13.8" thickBot="1" x14ac:dyDescent="0.3">
      <c r="A71" s="606"/>
      <c r="B71" s="609"/>
      <c r="C71" s="46">
        <v>0.59</v>
      </c>
      <c r="D71" s="46">
        <v>1.024</v>
      </c>
      <c r="E71" s="646"/>
      <c r="F71" s="648"/>
      <c r="G71" s="634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20" t="s">
        <v>3017</v>
      </c>
      <c r="S71" s="634"/>
      <c r="T71" s="634"/>
      <c r="U71" s="637"/>
    </row>
    <row r="72" spans="1:22" customFormat="1" ht="14.4" customHeight="1" x14ac:dyDescent="0.3">
      <c r="A72" s="604" t="s">
        <v>3018</v>
      </c>
      <c r="B72" s="607" t="s">
        <v>3019</v>
      </c>
      <c r="C72" s="43">
        <v>0</v>
      </c>
      <c r="D72" s="43">
        <f>0.81</f>
        <v>0.81</v>
      </c>
      <c r="E72" s="645">
        <v>4.1369999999999996</v>
      </c>
      <c r="F72" s="647">
        <v>22770</v>
      </c>
      <c r="G72" s="641" t="s">
        <v>32</v>
      </c>
      <c r="H72" s="34"/>
      <c r="I72" s="33"/>
      <c r="J72" s="33"/>
      <c r="K72" s="33"/>
      <c r="L72" s="33"/>
      <c r="M72" s="33"/>
      <c r="N72" s="33"/>
      <c r="O72" s="33"/>
      <c r="P72" s="33"/>
      <c r="Q72" s="33"/>
      <c r="R72" s="33">
        <v>70820080055</v>
      </c>
      <c r="S72" s="641"/>
      <c r="T72" s="641" t="s">
        <v>2949</v>
      </c>
      <c r="U72" s="642"/>
      <c r="V72" s="135"/>
    </row>
    <row r="73" spans="1:22" customFormat="1" ht="14.4" customHeight="1" x14ac:dyDescent="0.3">
      <c r="A73" s="605"/>
      <c r="B73" s="608"/>
      <c r="C73" s="48">
        <f>D72</f>
        <v>0.81</v>
      </c>
      <c r="D73" s="48">
        <f>C73+0.149</f>
        <v>0.95900000000000007</v>
      </c>
      <c r="E73" s="654"/>
      <c r="F73" s="655"/>
      <c r="G73" s="633"/>
      <c r="H73" s="13"/>
      <c r="I73" s="14"/>
      <c r="J73" s="14"/>
      <c r="K73" s="14"/>
      <c r="L73" s="14"/>
      <c r="M73" s="14"/>
      <c r="N73" s="14"/>
      <c r="O73" s="14"/>
      <c r="P73" s="14"/>
      <c r="Q73" s="14"/>
      <c r="R73" s="14" t="s">
        <v>3020</v>
      </c>
      <c r="S73" s="633"/>
      <c r="T73" s="633"/>
      <c r="U73" s="636"/>
      <c r="V73" s="135"/>
    </row>
    <row r="74" spans="1:22" customFormat="1" ht="14.4" customHeight="1" x14ac:dyDescent="0.3">
      <c r="A74" s="605"/>
      <c r="B74" s="608"/>
      <c r="C74" s="48">
        <f>D73</f>
        <v>0.95900000000000007</v>
      </c>
      <c r="D74" s="48">
        <f>C74+1.12</f>
        <v>2.0790000000000002</v>
      </c>
      <c r="E74" s="654"/>
      <c r="F74" s="655"/>
      <c r="G74" s="633"/>
      <c r="H74" s="13"/>
      <c r="I74" s="14"/>
      <c r="J74" s="14"/>
      <c r="K74" s="14"/>
      <c r="L74" s="14"/>
      <c r="M74" s="14"/>
      <c r="N74" s="14"/>
      <c r="O74" s="14"/>
      <c r="P74" s="14"/>
      <c r="Q74" s="14"/>
      <c r="R74" s="13">
        <v>70820080055</v>
      </c>
      <c r="S74" s="633"/>
      <c r="T74" s="633"/>
      <c r="U74" s="636"/>
      <c r="V74" s="135"/>
    </row>
    <row r="75" spans="1:22" customFormat="1" ht="14.4" x14ac:dyDescent="0.3">
      <c r="A75" s="605"/>
      <c r="B75" s="608"/>
      <c r="C75" s="48">
        <f>D74</f>
        <v>2.0790000000000002</v>
      </c>
      <c r="D75" s="48">
        <v>3.6070000000000002</v>
      </c>
      <c r="E75" s="654"/>
      <c r="F75" s="655"/>
      <c r="G75" s="63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4">
        <v>70820090037</v>
      </c>
      <c r="S75" s="633"/>
      <c r="T75" s="633"/>
      <c r="U75" s="636"/>
      <c r="V75" s="135"/>
    </row>
    <row r="76" spans="1:22" customFormat="1" ht="48.6" thickBot="1" x14ac:dyDescent="0.35">
      <c r="A76" s="606"/>
      <c r="B76" s="609"/>
      <c r="C76" s="46">
        <v>3.6070000000000002</v>
      </c>
      <c r="D76" s="46">
        <v>4.1399999999999997</v>
      </c>
      <c r="E76" s="646"/>
      <c r="F76" s="648"/>
      <c r="G76" s="634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20" t="s">
        <v>3021</v>
      </c>
      <c r="S76" s="634"/>
      <c r="T76" s="634"/>
      <c r="U76" s="637"/>
      <c r="V76" s="135"/>
    </row>
    <row r="77" spans="1:22" ht="12.75" customHeight="1" x14ac:dyDescent="0.25">
      <c r="A77" s="604" t="s">
        <v>3022</v>
      </c>
      <c r="B77" s="607" t="s">
        <v>3023</v>
      </c>
      <c r="C77" s="43">
        <v>0</v>
      </c>
      <c r="D77" s="30">
        <f>2.1</f>
        <v>2.1</v>
      </c>
      <c r="E77" s="645">
        <f>D79</f>
        <v>3.085</v>
      </c>
      <c r="F77" s="647">
        <v>13905</v>
      </c>
      <c r="G77" s="641" t="s">
        <v>32</v>
      </c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3">
        <v>70820130172</v>
      </c>
      <c r="S77" s="641"/>
      <c r="T77" s="641" t="s">
        <v>2949</v>
      </c>
      <c r="U77" s="642" t="s">
        <v>67</v>
      </c>
    </row>
    <row r="78" spans="1:22" ht="14.4" customHeight="1" x14ac:dyDescent="0.25">
      <c r="A78" s="605"/>
      <c r="B78" s="608"/>
      <c r="C78" s="10">
        <f>D77</f>
        <v>2.1</v>
      </c>
      <c r="D78" s="48">
        <f>C78+0.153</f>
        <v>2.2530000000000001</v>
      </c>
      <c r="E78" s="654"/>
      <c r="F78" s="655"/>
      <c r="G78" s="63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4" t="s">
        <v>3024</v>
      </c>
      <c r="S78" s="633"/>
      <c r="T78" s="633"/>
      <c r="U78" s="636"/>
    </row>
    <row r="79" spans="1:22" ht="13.8" thickBot="1" x14ac:dyDescent="0.3">
      <c r="A79" s="606"/>
      <c r="B79" s="609"/>
      <c r="C79" s="46">
        <f>D78</f>
        <v>2.2530000000000001</v>
      </c>
      <c r="D79" s="46">
        <f>C79+0.832</f>
        <v>3.085</v>
      </c>
      <c r="E79" s="646"/>
      <c r="F79" s="648"/>
      <c r="G79" s="634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20">
        <v>70820130214</v>
      </c>
      <c r="S79" s="634"/>
      <c r="T79" s="634"/>
      <c r="U79" s="637"/>
    </row>
    <row r="80" spans="1:22" ht="14.4" customHeight="1" x14ac:dyDescent="0.25">
      <c r="A80" s="604" t="s">
        <v>3025</v>
      </c>
      <c r="B80" s="607" t="s">
        <v>3026</v>
      </c>
      <c r="C80" s="43">
        <v>0</v>
      </c>
      <c r="D80" s="43">
        <v>1.5</v>
      </c>
      <c r="E80" s="645">
        <v>1.484</v>
      </c>
      <c r="F80" s="647">
        <v>8140</v>
      </c>
      <c r="G80" s="641" t="s">
        <v>32</v>
      </c>
      <c r="H80" s="640"/>
      <c r="I80" s="34"/>
      <c r="J80" s="34"/>
      <c r="K80" s="34"/>
      <c r="L80" s="34"/>
      <c r="M80" s="34"/>
      <c r="N80" s="34"/>
      <c r="O80" s="34"/>
      <c r="P80" s="34"/>
      <c r="Q80" s="34"/>
      <c r="R80" s="33">
        <v>70820060081</v>
      </c>
      <c r="S80" s="641"/>
      <c r="T80" s="641" t="s">
        <v>2949</v>
      </c>
      <c r="U80" s="642"/>
    </row>
    <row r="81" spans="1:22" ht="13.8" thickBot="1" x14ac:dyDescent="0.3">
      <c r="A81" s="606"/>
      <c r="B81" s="609"/>
      <c r="C81" s="46">
        <v>1.5</v>
      </c>
      <c r="D81" s="46">
        <v>1.484</v>
      </c>
      <c r="E81" s="646"/>
      <c r="F81" s="648"/>
      <c r="G81" s="634"/>
      <c r="H81" s="631"/>
      <c r="I81" s="19"/>
      <c r="J81" s="19"/>
      <c r="K81" s="19"/>
      <c r="L81" s="19"/>
      <c r="M81" s="19"/>
      <c r="N81" s="19"/>
      <c r="O81" s="19"/>
      <c r="P81" s="19"/>
      <c r="Q81" s="19"/>
      <c r="R81" s="20" t="s">
        <v>3027</v>
      </c>
      <c r="S81" s="634"/>
      <c r="T81" s="634"/>
      <c r="U81" s="637"/>
    </row>
    <row r="82" spans="1:22" ht="24.6" thickBot="1" x14ac:dyDescent="0.3">
      <c r="A82" s="40" t="s">
        <v>3028</v>
      </c>
      <c r="B82" s="23" t="s">
        <v>3029</v>
      </c>
      <c r="C82" s="41">
        <v>0</v>
      </c>
      <c r="D82" s="24">
        <v>1.704</v>
      </c>
      <c r="E82" s="41">
        <f>D82-C82</f>
        <v>1.704</v>
      </c>
      <c r="F82" s="4">
        <v>8500</v>
      </c>
      <c r="G82" s="3" t="s">
        <v>32</v>
      </c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3">
        <v>70820010069</v>
      </c>
      <c r="S82" s="3"/>
      <c r="T82" s="3" t="s">
        <v>2949</v>
      </c>
      <c r="U82" s="5"/>
    </row>
    <row r="83" spans="1:22" ht="24.6" thickBot="1" x14ac:dyDescent="0.3">
      <c r="A83" s="22" t="s">
        <v>3030</v>
      </c>
      <c r="B83" s="23" t="s">
        <v>3031</v>
      </c>
      <c r="C83" s="41">
        <v>0</v>
      </c>
      <c r="D83" s="41">
        <v>0.76</v>
      </c>
      <c r="E83" s="41">
        <f>D83-C83</f>
        <v>0.76</v>
      </c>
      <c r="F83" s="4">
        <v>4180</v>
      </c>
      <c r="G83" s="3" t="s">
        <v>32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3">
        <v>70820060132</v>
      </c>
      <c r="S83" s="3"/>
      <c r="T83" s="3" t="s">
        <v>2949</v>
      </c>
      <c r="U83" s="5"/>
    </row>
    <row r="84" spans="1:22" customFormat="1" ht="15" customHeight="1" x14ac:dyDescent="0.3">
      <c r="A84" s="604" t="s">
        <v>3032</v>
      </c>
      <c r="B84" s="607" t="s">
        <v>3033</v>
      </c>
      <c r="C84" s="43">
        <v>0</v>
      </c>
      <c r="D84" s="43">
        <v>2.2400000000000002</v>
      </c>
      <c r="E84" s="645">
        <v>5.3730000000000002</v>
      </c>
      <c r="F84" s="647">
        <v>26850</v>
      </c>
      <c r="G84" s="641" t="s">
        <v>32</v>
      </c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3">
        <v>70820070070</v>
      </c>
      <c r="S84" s="641"/>
      <c r="T84" s="641" t="s">
        <v>2949</v>
      </c>
      <c r="U84" s="642"/>
      <c r="V84" s="135"/>
    </row>
    <row r="85" spans="1:22" customFormat="1" ht="15" customHeight="1" x14ac:dyDescent="0.3">
      <c r="A85" s="605"/>
      <c r="B85" s="608"/>
      <c r="C85" s="654">
        <v>2.2400000000000002</v>
      </c>
      <c r="D85" s="611">
        <v>5.3730000000000002</v>
      </c>
      <c r="E85" s="654"/>
      <c r="F85" s="655"/>
      <c r="G85" s="63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4">
        <v>70820090054</v>
      </c>
      <c r="S85" s="633"/>
      <c r="T85" s="633"/>
      <c r="U85" s="636"/>
      <c r="V85" s="135"/>
    </row>
    <row r="86" spans="1:22" customFormat="1" ht="15" customHeight="1" x14ac:dyDescent="0.3">
      <c r="A86" s="605"/>
      <c r="B86" s="608"/>
      <c r="C86" s="654"/>
      <c r="D86" s="611"/>
      <c r="E86" s="654"/>
      <c r="F86" s="655"/>
      <c r="G86" s="63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4" t="s">
        <v>3034</v>
      </c>
      <c r="S86" s="633"/>
      <c r="T86" s="633"/>
      <c r="U86" s="636"/>
      <c r="V86" s="135"/>
    </row>
    <row r="87" spans="1:22" customFormat="1" ht="15" thickBot="1" x14ac:dyDescent="0.35">
      <c r="A87" s="606"/>
      <c r="B87" s="609"/>
      <c r="C87" s="646"/>
      <c r="D87" s="612"/>
      <c r="E87" s="646"/>
      <c r="F87" s="648"/>
      <c r="G87" s="634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20" t="s">
        <v>3035</v>
      </c>
      <c r="S87" s="634"/>
      <c r="T87" s="634"/>
      <c r="U87" s="637"/>
      <c r="V87" s="135"/>
    </row>
    <row r="88" spans="1:22" customFormat="1" ht="15" customHeight="1" x14ac:dyDescent="0.3">
      <c r="A88" s="604" t="s">
        <v>3036</v>
      </c>
      <c r="B88" s="607" t="s">
        <v>3037</v>
      </c>
      <c r="C88" s="43">
        <v>0</v>
      </c>
      <c r="D88" s="43">
        <v>1.06</v>
      </c>
      <c r="E88" s="645">
        <v>1.4350000000000001</v>
      </c>
      <c r="F88" s="647">
        <v>7920</v>
      </c>
      <c r="G88" s="641" t="s">
        <v>32</v>
      </c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3">
        <v>70820110127</v>
      </c>
      <c r="S88" s="641"/>
      <c r="T88" s="641" t="s">
        <v>2949</v>
      </c>
      <c r="U88" s="642"/>
      <c r="V88" s="135"/>
    </row>
    <row r="89" spans="1:22" customFormat="1" ht="15" thickBot="1" x14ac:dyDescent="0.35">
      <c r="A89" s="606"/>
      <c r="B89" s="609"/>
      <c r="C89" s="46">
        <v>1.06</v>
      </c>
      <c r="D89" s="16">
        <v>1.4350000000000001</v>
      </c>
      <c r="E89" s="646"/>
      <c r="F89" s="648"/>
      <c r="G89" s="634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20">
        <v>70820110139</v>
      </c>
      <c r="S89" s="634"/>
      <c r="T89" s="634"/>
      <c r="U89" s="637"/>
      <c r="V89" s="418"/>
    </row>
    <row r="90" spans="1:22" customFormat="1" ht="15" customHeight="1" x14ac:dyDescent="0.3">
      <c r="A90" s="604" t="s">
        <v>3038</v>
      </c>
      <c r="B90" s="607" t="s">
        <v>3039</v>
      </c>
      <c r="C90" s="43">
        <v>0</v>
      </c>
      <c r="D90" s="43">
        <v>1.133</v>
      </c>
      <c r="E90" s="645">
        <v>1.827</v>
      </c>
      <c r="F90" s="647">
        <v>9150</v>
      </c>
      <c r="G90" s="641" t="s">
        <v>32</v>
      </c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3">
        <v>70820110102</v>
      </c>
      <c r="S90" s="641"/>
      <c r="T90" s="641" t="s">
        <v>2949</v>
      </c>
      <c r="U90" s="642"/>
      <c r="V90" s="418"/>
    </row>
    <row r="91" spans="1:22" customFormat="1" ht="15" customHeight="1" x14ac:dyDescent="0.3">
      <c r="A91" s="605"/>
      <c r="B91" s="608"/>
      <c r="C91" s="48">
        <v>1.133</v>
      </c>
      <c r="D91" s="48">
        <v>1.304</v>
      </c>
      <c r="E91" s="654"/>
      <c r="F91" s="655"/>
      <c r="G91" s="63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4" t="s">
        <v>3040</v>
      </c>
      <c r="S91" s="633"/>
      <c r="T91" s="633"/>
      <c r="U91" s="636"/>
      <c r="V91" s="418"/>
    </row>
    <row r="92" spans="1:22" customFormat="1" ht="15" customHeight="1" x14ac:dyDescent="0.3">
      <c r="A92" s="605"/>
      <c r="B92" s="608"/>
      <c r="C92" s="48">
        <v>1.3839999999999999</v>
      </c>
      <c r="D92" s="48">
        <v>1.827</v>
      </c>
      <c r="E92" s="654"/>
      <c r="F92" s="655"/>
      <c r="G92" s="63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633" t="s">
        <v>3041</v>
      </c>
      <c r="S92" s="633"/>
      <c r="T92" s="633"/>
      <c r="U92" s="636"/>
      <c r="V92" s="418"/>
    </row>
    <row r="93" spans="1:22" customFormat="1" ht="15" thickBot="1" x14ac:dyDescent="0.35">
      <c r="A93" s="606"/>
      <c r="B93" s="609"/>
      <c r="C93" s="46">
        <v>1.304</v>
      </c>
      <c r="D93" s="46">
        <v>1.55</v>
      </c>
      <c r="E93" s="646"/>
      <c r="F93" s="648"/>
      <c r="G93" s="634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634"/>
      <c r="S93" s="634"/>
      <c r="T93" s="634"/>
      <c r="U93" s="637"/>
      <c r="V93" s="418"/>
    </row>
    <row r="94" spans="1:22" customFormat="1" ht="15" customHeight="1" x14ac:dyDescent="0.3">
      <c r="A94" s="604" t="s">
        <v>3042</v>
      </c>
      <c r="B94" s="607" t="s">
        <v>3043</v>
      </c>
      <c r="C94" s="43">
        <v>0</v>
      </c>
      <c r="D94" s="43">
        <v>0.51400000000000001</v>
      </c>
      <c r="E94" s="645">
        <v>0.60899999999999999</v>
      </c>
      <c r="F94" s="647">
        <v>3000</v>
      </c>
      <c r="G94" s="641" t="s">
        <v>51</v>
      </c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3">
        <v>70820130190</v>
      </c>
      <c r="S94" s="641"/>
      <c r="T94" s="641" t="s">
        <v>2949</v>
      </c>
      <c r="U94" s="642"/>
      <c r="V94" s="135"/>
    </row>
    <row r="95" spans="1:22" customFormat="1" ht="15" thickBot="1" x14ac:dyDescent="0.35">
      <c r="A95" s="606"/>
      <c r="B95" s="609"/>
      <c r="C95" s="46">
        <v>0.51400000000000001</v>
      </c>
      <c r="D95" s="46">
        <v>0.60899999999999999</v>
      </c>
      <c r="E95" s="646"/>
      <c r="F95" s="648"/>
      <c r="G95" s="634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20">
        <v>70820130152</v>
      </c>
      <c r="S95" s="634"/>
      <c r="T95" s="634"/>
      <c r="U95" s="637"/>
      <c r="V95" s="135"/>
    </row>
    <row r="96" spans="1:22" customFormat="1" ht="15" customHeight="1" x14ac:dyDescent="0.3">
      <c r="A96" s="604" t="s">
        <v>3044</v>
      </c>
      <c r="B96" s="607" t="s">
        <v>3045</v>
      </c>
      <c r="C96" s="43">
        <v>0</v>
      </c>
      <c r="D96" s="43">
        <v>1.72</v>
      </c>
      <c r="E96" s="645">
        <v>2.6179999999999999</v>
      </c>
      <c r="F96" s="647">
        <v>10200</v>
      </c>
      <c r="G96" s="641" t="s">
        <v>32</v>
      </c>
      <c r="H96" s="34"/>
      <c r="I96" s="33"/>
      <c r="J96" s="33"/>
      <c r="K96" s="33"/>
      <c r="L96" s="33"/>
      <c r="M96" s="33"/>
      <c r="N96" s="33"/>
      <c r="O96" s="33"/>
      <c r="P96" s="34"/>
      <c r="Q96" s="34"/>
      <c r="R96" s="33">
        <v>70820020047</v>
      </c>
      <c r="S96" s="641"/>
      <c r="T96" s="641" t="s">
        <v>2949</v>
      </c>
      <c r="U96" s="642"/>
      <c r="V96" s="135"/>
    </row>
    <row r="97" spans="1:28" customFormat="1" ht="19.2" customHeight="1" x14ac:dyDescent="0.3">
      <c r="A97" s="605"/>
      <c r="B97" s="608"/>
      <c r="C97" s="654">
        <v>1.72</v>
      </c>
      <c r="D97" s="654">
        <v>2.6179999999999999</v>
      </c>
      <c r="E97" s="654"/>
      <c r="F97" s="655"/>
      <c r="G97" s="633"/>
      <c r="H97" s="13"/>
      <c r="I97" s="14"/>
      <c r="J97" s="14"/>
      <c r="K97" s="14"/>
      <c r="L97" s="14"/>
      <c r="M97" s="14"/>
      <c r="N97" s="14"/>
      <c r="O97" s="14"/>
      <c r="P97" s="13"/>
      <c r="Q97" s="13"/>
      <c r="R97" s="14" t="s">
        <v>3046</v>
      </c>
      <c r="S97" s="633"/>
      <c r="T97" s="633"/>
      <c r="U97" s="636"/>
      <c r="V97" s="419"/>
      <c r="W97" s="419"/>
      <c r="X97" s="419"/>
      <c r="Y97" s="419"/>
      <c r="Z97" s="419"/>
      <c r="AA97" s="419"/>
      <c r="AB97" s="419"/>
    </row>
    <row r="98" spans="1:28" customFormat="1" ht="15" thickBot="1" x14ac:dyDescent="0.35">
      <c r="A98" s="606"/>
      <c r="B98" s="609"/>
      <c r="C98" s="646"/>
      <c r="D98" s="646"/>
      <c r="E98" s="646"/>
      <c r="F98" s="648"/>
      <c r="G98" s="634"/>
      <c r="H98" s="19"/>
      <c r="I98" s="20"/>
      <c r="J98" s="20"/>
      <c r="K98" s="20"/>
      <c r="L98" s="20"/>
      <c r="M98" s="20"/>
      <c r="N98" s="20"/>
      <c r="O98" s="20"/>
      <c r="P98" s="19"/>
      <c r="Q98" s="19"/>
      <c r="R98" s="20" t="s">
        <v>3047</v>
      </c>
      <c r="S98" s="634"/>
      <c r="T98" s="634"/>
      <c r="U98" s="637"/>
      <c r="V98" s="417"/>
      <c r="W98" s="419"/>
      <c r="X98" s="419"/>
      <c r="Y98" s="419"/>
      <c r="Z98" s="419"/>
      <c r="AA98" s="419"/>
      <c r="AB98" s="419"/>
    </row>
    <row r="99" spans="1:28" customFormat="1" ht="15" customHeight="1" x14ac:dyDescent="0.3">
      <c r="A99" s="604" t="s">
        <v>3048</v>
      </c>
      <c r="B99" s="607" t="s">
        <v>3049</v>
      </c>
      <c r="C99" s="43">
        <v>0</v>
      </c>
      <c r="D99" s="43">
        <v>1.75</v>
      </c>
      <c r="E99" s="645">
        <v>1.95</v>
      </c>
      <c r="F99" s="647">
        <v>8775</v>
      </c>
      <c r="G99" s="641" t="s">
        <v>32</v>
      </c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3">
        <v>70820040129</v>
      </c>
      <c r="S99" s="641"/>
      <c r="T99" s="641" t="s">
        <v>2949</v>
      </c>
      <c r="U99" s="642"/>
      <c r="V99" s="419"/>
    </row>
    <row r="100" spans="1:28" customFormat="1" ht="15" thickBot="1" x14ac:dyDescent="0.35">
      <c r="A100" s="606"/>
      <c r="B100" s="609"/>
      <c r="C100" s="46">
        <v>1.75</v>
      </c>
      <c r="D100" s="46">
        <v>1.95</v>
      </c>
      <c r="E100" s="646"/>
      <c r="F100" s="648"/>
      <c r="G100" s="634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20" t="s">
        <v>3050</v>
      </c>
      <c r="S100" s="634"/>
      <c r="T100" s="634"/>
      <c r="U100" s="637"/>
      <c r="V100" s="135"/>
    </row>
    <row r="101" spans="1:28" customFormat="1" ht="24.6" thickBot="1" x14ac:dyDescent="0.35">
      <c r="A101" s="22" t="s">
        <v>3051</v>
      </c>
      <c r="B101" s="23" t="s">
        <v>3052</v>
      </c>
      <c r="C101" s="41">
        <v>0</v>
      </c>
      <c r="D101" s="24">
        <v>0.68899999999999995</v>
      </c>
      <c r="E101" s="41">
        <f>D101-C101</f>
        <v>0.68899999999999995</v>
      </c>
      <c r="F101" s="4">
        <v>3880</v>
      </c>
      <c r="G101" s="3" t="s">
        <v>51</v>
      </c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3">
        <v>70820130221</v>
      </c>
      <c r="S101" s="3"/>
      <c r="T101" s="3" t="s">
        <v>2949</v>
      </c>
      <c r="U101" s="5"/>
      <c r="V101" s="135"/>
    </row>
    <row r="102" spans="1:28" customFormat="1" ht="24.6" thickBot="1" x14ac:dyDescent="0.35">
      <c r="A102" s="22" t="s">
        <v>3053</v>
      </c>
      <c r="B102" s="23" t="s">
        <v>3054</v>
      </c>
      <c r="C102" s="41">
        <v>0</v>
      </c>
      <c r="D102" s="41">
        <v>0.14000000000000001</v>
      </c>
      <c r="E102" s="41">
        <f>D102-C102</f>
        <v>0.14000000000000001</v>
      </c>
      <c r="F102" s="3">
        <v>770</v>
      </c>
      <c r="G102" s="3" t="s">
        <v>51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3">
        <v>70820120169</v>
      </c>
      <c r="S102" s="3"/>
      <c r="T102" s="3" t="s">
        <v>2949</v>
      </c>
      <c r="U102" s="5"/>
      <c r="V102" s="135"/>
    </row>
    <row r="103" spans="1:28" customFormat="1" ht="24.6" thickBot="1" x14ac:dyDescent="0.35">
      <c r="A103" s="22" t="s">
        <v>3055</v>
      </c>
      <c r="B103" s="23" t="s">
        <v>3056</v>
      </c>
      <c r="C103" s="41">
        <v>0</v>
      </c>
      <c r="D103" s="24">
        <v>0.80800000000000005</v>
      </c>
      <c r="E103" s="41">
        <f>D103-C103</f>
        <v>0.80800000000000005</v>
      </c>
      <c r="F103" s="4">
        <v>2835</v>
      </c>
      <c r="G103" s="3" t="s">
        <v>32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3">
        <v>70820140029</v>
      </c>
      <c r="S103" s="3"/>
      <c r="T103" s="3" t="s">
        <v>2949</v>
      </c>
      <c r="U103" s="5"/>
      <c r="V103" s="135"/>
    </row>
    <row r="104" spans="1:28" customFormat="1" ht="15" customHeight="1" x14ac:dyDescent="0.3">
      <c r="A104" s="604" t="s">
        <v>3057</v>
      </c>
      <c r="B104" s="607" t="s">
        <v>3058</v>
      </c>
      <c r="C104" s="645">
        <v>0</v>
      </c>
      <c r="D104" s="645">
        <v>0.53</v>
      </c>
      <c r="E104" s="645">
        <v>1.21</v>
      </c>
      <c r="F104" s="647">
        <v>7880</v>
      </c>
      <c r="G104" s="641" t="s">
        <v>32</v>
      </c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3" t="s">
        <v>3059</v>
      </c>
      <c r="S104" s="641"/>
      <c r="T104" s="641" t="s">
        <v>2949</v>
      </c>
      <c r="U104" s="642"/>
      <c r="V104" s="135"/>
    </row>
    <row r="105" spans="1:28" customFormat="1" ht="15" customHeight="1" x14ac:dyDescent="0.3">
      <c r="A105" s="605"/>
      <c r="B105" s="608"/>
      <c r="C105" s="654"/>
      <c r="D105" s="654"/>
      <c r="E105" s="654"/>
      <c r="F105" s="655"/>
      <c r="G105" s="63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4" t="s">
        <v>3060</v>
      </c>
      <c r="S105" s="633"/>
      <c r="T105" s="633"/>
      <c r="U105" s="636"/>
      <c r="V105" s="135"/>
    </row>
    <row r="106" spans="1:28" customFormat="1" ht="15" thickBot="1" x14ac:dyDescent="0.35">
      <c r="A106" s="606"/>
      <c r="B106" s="609"/>
      <c r="C106" s="46">
        <v>0.53</v>
      </c>
      <c r="D106" s="16">
        <v>1.21</v>
      </c>
      <c r="E106" s="646"/>
      <c r="F106" s="648"/>
      <c r="G106" s="634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20">
        <v>70820080064</v>
      </c>
      <c r="S106" s="634"/>
      <c r="T106" s="634"/>
      <c r="U106" s="637"/>
      <c r="V106" s="135"/>
    </row>
    <row r="107" spans="1:28" customFormat="1" ht="24.6" thickBot="1" x14ac:dyDescent="0.35">
      <c r="A107" s="22" t="s">
        <v>3061</v>
      </c>
      <c r="B107" s="23" t="s">
        <v>3062</v>
      </c>
      <c r="C107" s="41">
        <v>0</v>
      </c>
      <c r="D107" s="41">
        <v>1.02</v>
      </c>
      <c r="E107" s="41">
        <v>1.02</v>
      </c>
      <c r="F107" s="4">
        <v>3570</v>
      </c>
      <c r="G107" s="3" t="s">
        <v>32</v>
      </c>
      <c r="H107" s="27"/>
      <c r="I107" s="3"/>
      <c r="J107" s="3"/>
      <c r="K107" s="3"/>
      <c r="L107" s="3"/>
      <c r="M107" s="3"/>
      <c r="N107" s="3"/>
      <c r="O107" s="3"/>
      <c r="P107" s="27"/>
      <c r="Q107" s="27"/>
      <c r="R107" s="3">
        <v>70820070068</v>
      </c>
      <c r="S107" s="3"/>
      <c r="T107" s="3" t="s">
        <v>2949</v>
      </c>
      <c r="U107" s="5" t="s">
        <v>67</v>
      </c>
      <c r="V107" s="420"/>
      <c r="W107" s="420"/>
      <c r="X107" s="420"/>
      <c r="Y107" s="420"/>
    </row>
    <row r="108" spans="1:28" customFormat="1" ht="15" customHeight="1" x14ac:dyDescent="0.3">
      <c r="A108" s="604" t="s">
        <v>3063</v>
      </c>
      <c r="B108" s="607" t="s">
        <v>3064</v>
      </c>
      <c r="C108" s="43">
        <v>0</v>
      </c>
      <c r="D108" s="43">
        <v>0.68</v>
      </c>
      <c r="E108" s="645">
        <v>1.8720000000000001</v>
      </c>
      <c r="F108" s="647">
        <v>7520</v>
      </c>
      <c r="G108" s="641" t="s">
        <v>32</v>
      </c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3">
        <v>70820100105</v>
      </c>
      <c r="S108" s="641"/>
      <c r="T108" s="641" t="s">
        <v>2949</v>
      </c>
      <c r="U108" s="642"/>
      <c r="V108" s="350"/>
    </row>
    <row r="109" spans="1:28" customFormat="1" ht="15" thickBot="1" x14ac:dyDescent="0.35">
      <c r="A109" s="606"/>
      <c r="B109" s="609"/>
      <c r="C109" s="46">
        <v>0.68</v>
      </c>
      <c r="D109" s="16">
        <v>1.8720000000000001</v>
      </c>
      <c r="E109" s="646"/>
      <c r="F109" s="648"/>
      <c r="G109" s="634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20">
        <v>70820050071</v>
      </c>
      <c r="S109" s="634"/>
      <c r="T109" s="634"/>
      <c r="U109" s="637"/>
      <c r="V109" s="135"/>
    </row>
    <row r="110" spans="1:28" customFormat="1" ht="24.6" thickBot="1" x14ac:dyDescent="0.35">
      <c r="A110" s="22" t="s">
        <v>3065</v>
      </c>
      <c r="B110" s="23" t="s">
        <v>3066</v>
      </c>
      <c r="C110" s="41">
        <v>0</v>
      </c>
      <c r="D110" s="41">
        <v>1.5649999999999999</v>
      </c>
      <c r="E110" s="41">
        <f>D110-C110</f>
        <v>1.5649999999999999</v>
      </c>
      <c r="F110" s="4">
        <v>6280</v>
      </c>
      <c r="G110" s="3" t="s">
        <v>32</v>
      </c>
      <c r="H110" s="421"/>
      <c r="I110" s="27"/>
      <c r="J110" s="27"/>
      <c r="K110" s="27"/>
      <c r="L110" s="27"/>
      <c r="M110" s="27"/>
      <c r="N110" s="27"/>
      <c r="O110" s="27"/>
      <c r="P110" s="27"/>
      <c r="Q110" s="27"/>
      <c r="R110" s="3">
        <v>70820040137</v>
      </c>
      <c r="S110" s="3"/>
      <c r="T110" s="3" t="s">
        <v>2949</v>
      </c>
      <c r="U110" s="5" t="s">
        <v>67</v>
      </c>
      <c r="V110" s="422"/>
    </row>
    <row r="111" spans="1:28" customFormat="1" ht="24.6" thickBot="1" x14ac:dyDescent="0.35">
      <c r="A111" s="22" t="s">
        <v>3067</v>
      </c>
      <c r="B111" s="23" t="s">
        <v>3068</v>
      </c>
      <c r="C111" s="41">
        <v>0</v>
      </c>
      <c r="D111" s="41">
        <v>1.72</v>
      </c>
      <c r="E111" s="41">
        <f>D111-C111</f>
        <v>1.72</v>
      </c>
      <c r="F111" s="4">
        <v>7740</v>
      </c>
      <c r="G111" s="3" t="s">
        <v>32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3">
        <v>70820050057</v>
      </c>
      <c r="S111" s="3"/>
      <c r="T111" s="3" t="s">
        <v>2949</v>
      </c>
      <c r="U111" s="5"/>
      <c r="V111" s="135"/>
    </row>
    <row r="112" spans="1:28" customFormat="1" ht="15" customHeight="1" x14ac:dyDescent="0.3">
      <c r="A112" s="604" t="s">
        <v>3069</v>
      </c>
      <c r="B112" s="607" t="s">
        <v>3070</v>
      </c>
      <c r="C112" s="43">
        <v>0</v>
      </c>
      <c r="D112" s="43">
        <v>0.68</v>
      </c>
      <c r="E112" s="645">
        <v>1.88</v>
      </c>
      <c r="F112" s="647">
        <v>6580</v>
      </c>
      <c r="G112" s="641" t="s">
        <v>32</v>
      </c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3">
        <v>70820050108</v>
      </c>
      <c r="S112" s="641"/>
      <c r="T112" s="641" t="s">
        <v>2949</v>
      </c>
      <c r="U112" s="642"/>
      <c r="V112" s="135"/>
    </row>
    <row r="113" spans="1:32" customFormat="1" ht="15" thickBot="1" x14ac:dyDescent="0.35">
      <c r="A113" s="606"/>
      <c r="B113" s="609"/>
      <c r="C113" s="46">
        <v>0.68</v>
      </c>
      <c r="D113" s="46">
        <v>1.88</v>
      </c>
      <c r="E113" s="646"/>
      <c r="F113" s="648"/>
      <c r="G113" s="634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20">
        <v>70820060131</v>
      </c>
      <c r="S113" s="634"/>
      <c r="T113" s="634"/>
      <c r="U113" s="637"/>
      <c r="V113" s="135"/>
    </row>
    <row r="114" spans="1:32" customFormat="1" ht="24.6" thickBot="1" x14ac:dyDescent="0.35">
      <c r="A114" s="22" t="s">
        <v>3071</v>
      </c>
      <c r="B114" s="23" t="s">
        <v>3072</v>
      </c>
      <c r="C114" s="41">
        <v>0</v>
      </c>
      <c r="D114" s="24">
        <v>1.7909999999999999</v>
      </c>
      <c r="E114" s="41">
        <f>D114-C114</f>
        <v>1.7909999999999999</v>
      </c>
      <c r="F114" s="4">
        <v>8055</v>
      </c>
      <c r="G114" s="3" t="s">
        <v>32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3">
        <v>70820040201</v>
      </c>
      <c r="S114" s="3"/>
      <c r="T114" s="3" t="s">
        <v>2949</v>
      </c>
      <c r="U114" s="5"/>
      <c r="V114" s="135"/>
    </row>
    <row r="115" spans="1:32" customFormat="1" ht="24.6" thickBot="1" x14ac:dyDescent="0.35">
      <c r="A115" s="22" t="s">
        <v>3073</v>
      </c>
      <c r="B115" s="23" t="s">
        <v>3074</v>
      </c>
      <c r="C115" s="41">
        <v>0</v>
      </c>
      <c r="D115" s="24">
        <v>0.42599999999999999</v>
      </c>
      <c r="E115" s="41">
        <f>D115-C115</f>
        <v>0.42599999999999999</v>
      </c>
      <c r="F115" s="4">
        <v>1540</v>
      </c>
      <c r="G115" s="3" t="s">
        <v>32</v>
      </c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3">
        <v>70820090050</v>
      </c>
      <c r="S115" s="3"/>
      <c r="T115" s="3" t="s">
        <v>2949</v>
      </c>
      <c r="U115" s="5"/>
      <c r="V115" s="135"/>
    </row>
    <row r="116" spans="1:32" customFormat="1" ht="15" customHeight="1" x14ac:dyDescent="0.3">
      <c r="A116" s="604" t="s">
        <v>3075</v>
      </c>
      <c r="B116" s="607" t="s">
        <v>3076</v>
      </c>
      <c r="C116" s="43">
        <v>0</v>
      </c>
      <c r="D116" s="43">
        <v>1.028</v>
      </c>
      <c r="E116" s="645">
        <v>1.1359999999999999</v>
      </c>
      <c r="F116" s="647">
        <v>5150</v>
      </c>
      <c r="G116" s="641" t="s">
        <v>32</v>
      </c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3">
        <v>70820130216</v>
      </c>
      <c r="S116" s="641"/>
      <c r="T116" s="641" t="s">
        <v>2949</v>
      </c>
      <c r="U116" s="642"/>
      <c r="V116" s="135"/>
    </row>
    <row r="117" spans="1:32" customFormat="1" ht="15" thickBot="1" x14ac:dyDescent="0.35">
      <c r="A117" s="606"/>
      <c r="B117" s="609"/>
      <c r="C117" s="46">
        <v>1.028</v>
      </c>
      <c r="D117" s="46">
        <v>1.1359999999999999</v>
      </c>
      <c r="E117" s="646"/>
      <c r="F117" s="648"/>
      <c r="G117" s="634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20">
        <v>70820130209</v>
      </c>
      <c r="S117" s="634"/>
      <c r="T117" s="634"/>
      <c r="U117" s="637"/>
      <c r="V117" s="135"/>
    </row>
    <row r="118" spans="1:32" customFormat="1" ht="24.6" thickBot="1" x14ac:dyDescent="0.35">
      <c r="A118" s="22" t="s">
        <v>3077</v>
      </c>
      <c r="B118" s="23" t="s">
        <v>3078</v>
      </c>
      <c r="C118" s="41">
        <v>0</v>
      </c>
      <c r="D118" s="41">
        <v>0.72</v>
      </c>
      <c r="E118" s="41">
        <f>D118-C118</f>
        <v>0.72</v>
      </c>
      <c r="F118" s="4">
        <v>3600</v>
      </c>
      <c r="G118" s="3" t="s">
        <v>32</v>
      </c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3">
        <v>70820130217</v>
      </c>
      <c r="S118" s="3"/>
      <c r="T118" s="3" t="s">
        <v>2949</v>
      </c>
      <c r="U118" s="5" t="s">
        <v>67</v>
      </c>
      <c r="V118" s="135"/>
    </row>
    <row r="119" spans="1:32" customFormat="1" ht="24.6" thickBot="1" x14ac:dyDescent="0.35">
      <c r="A119" s="22" t="s">
        <v>3079</v>
      </c>
      <c r="B119" s="23" t="s">
        <v>3080</v>
      </c>
      <c r="C119" s="41">
        <v>0</v>
      </c>
      <c r="D119" s="24">
        <v>0.97699999999999998</v>
      </c>
      <c r="E119" s="41">
        <f>D119-C119</f>
        <v>0.97699999999999998</v>
      </c>
      <c r="F119" s="4">
        <v>4450</v>
      </c>
      <c r="G119" s="3" t="s">
        <v>32</v>
      </c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3">
        <v>70820130218</v>
      </c>
      <c r="S119" s="3"/>
      <c r="T119" s="3" t="s">
        <v>2949</v>
      </c>
      <c r="U119" s="5"/>
      <c r="V119" s="135"/>
    </row>
    <row r="120" spans="1:32" s="423" customFormat="1" ht="24.6" thickBot="1" x14ac:dyDescent="0.35">
      <c r="A120" s="22" t="s">
        <v>3081</v>
      </c>
      <c r="B120" s="305" t="s">
        <v>3082</v>
      </c>
      <c r="C120" s="24">
        <v>0</v>
      </c>
      <c r="D120" s="24">
        <v>0.34399999999999997</v>
      </c>
      <c r="E120" s="24">
        <f>D120-C120</f>
        <v>0.34399999999999997</v>
      </c>
      <c r="F120" s="27">
        <v>1400</v>
      </c>
      <c r="G120" s="27" t="s">
        <v>32</v>
      </c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 t="s">
        <v>3083</v>
      </c>
      <c r="S120" s="3"/>
      <c r="T120" s="3" t="s">
        <v>2949</v>
      </c>
      <c r="U120" s="5"/>
    </row>
    <row r="122" spans="1:32" ht="24.6" x14ac:dyDescent="0.3">
      <c r="B122" s="61" t="s">
        <v>202</v>
      </c>
      <c r="C122"/>
      <c r="D122"/>
      <c r="E122"/>
      <c r="F122"/>
      <c r="G122"/>
      <c r="H122"/>
    </row>
    <row r="123" spans="1:32" ht="24.6" x14ac:dyDescent="0.3">
      <c r="B123" s="61" t="s">
        <v>203</v>
      </c>
      <c r="C123"/>
      <c r="D123"/>
      <c r="E123"/>
      <c r="F123"/>
      <c r="G123"/>
      <c r="H123"/>
    </row>
    <row r="124" spans="1:32" ht="24.6" x14ac:dyDescent="0.3">
      <c r="B124" s="61" t="s">
        <v>204</v>
      </c>
      <c r="C124"/>
      <c r="D124"/>
      <c r="E124"/>
      <c r="F124"/>
      <c r="G124"/>
      <c r="H124"/>
    </row>
    <row r="125" spans="1:32" ht="24" x14ac:dyDescent="0.25">
      <c r="B125" s="61" t="s">
        <v>205</v>
      </c>
    </row>
    <row r="127" spans="1:32" s="59" customFormat="1" ht="27.6" customHeight="1" x14ac:dyDescent="0.25">
      <c r="A127" s="509"/>
      <c r="B127" s="509"/>
      <c r="C127" s="512" t="s">
        <v>3985</v>
      </c>
      <c r="D127" s="543" t="s">
        <v>3986</v>
      </c>
      <c r="E127" s="543"/>
      <c r="F127" s="543"/>
      <c r="G127" s="509"/>
      <c r="H127" s="509"/>
      <c r="I127" s="509"/>
      <c r="J127" s="509"/>
      <c r="K127" s="509"/>
      <c r="L127" s="509"/>
      <c r="M127" s="509"/>
      <c r="N127" s="509"/>
      <c r="O127" s="509"/>
      <c r="P127" s="509"/>
      <c r="Q127" s="509"/>
      <c r="R127" s="509"/>
      <c r="S127" s="509"/>
      <c r="T127" s="509"/>
      <c r="U127" s="509"/>
      <c r="V127" s="509"/>
      <c r="W127" s="509"/>
      <c r="X127" s="509"/>
      <c r="Y127" s="509"/>
      <c r="Z127" s="509"/>
      <c r="AA127" s="509"/>
      <c r="AB127" s="509"/>
      <c r="AC127" s="509"/>
      <c r="AD127" s="509"/>
      <c r="AE127" s="510"/>
      <c r="AF127" s="510"/>
    </row>
    <row r="128" spans="1:32" s="59" customFormat="1" ht="13.8" x14ac:dyDescent="0.25">
      <c r="A128" s="509"/>
      <c r="B128" s="509"/>
      <c r="C128" s="509"/>
      <c r="D128" s="509"/>
      <c r="E128" s="509"/>
      <c r="F128" s="509"/>
      <c r="G128" s="509"/>
      <c r="H128" s="509"/>
      <c r="I128" s="509"/>
      <c r="J128" s="509"/>
      <c r="K128" s="509"/>
      <c r="L128" s="509"/>
      <c r="M128" s="509"/>
      <c r="N128" s="509"/>
      <c r="O128" s="509"/>
      <c r="P128" s="509"/>
      <c r="Q128" s="509"/>
      <c r="R128" s="509"/>
      <c r="S128" s="509"/>
      <c r="T128" s="509"/>
      <c r="U128" s="509"/>
      <c r="V128" s="509"/>
      <c r="W128" s="509"/>
      <c r="X128" s="509"/>
      <c r="Y128" s="509"/>
      <c r="Z128" s="509"/>
      <c r="AA128" s="509"/>
      <c r="AB128" s="509"/>
      <c r="AC128" s="509"/>
      <c r="AD128" s="509"/>
      <c r="AE128" s="510"/>
      <c r="AF128" s="510"/>
    </row>
    <row r="129" spans="1:32" s="59" customFormat="1" ht="13.8" x14ac:dyDescent="0.25">
      <c r="A129" s="509"/>
      <c r="B129" s="509"/>
      <c r="C129" s="509"/>
      <c r="D129" s="509"/>
      <c r="E129" s="509"/>
      <c r="F129" s="509"/>
      <c r="G129" s="509"/>
      <c r="H129" s="509"/>
      <c r="I129" s="509"/>
      <c r="J129" s="509"/>
      <c r="K129" s="509"/>
      <c r="L129" s="509"/>
      <c r="M129" s="509"/>
      <c r="N129" s="509"/>
      <c r="O129" s="509"/>
      <c r="P129" s="509"/>
      <c r="Q129" s="509"/>
      <c r="R129" s="509"/>
      <c r="S129" s="509"/>
      <c r="T129" s="509"/>
      <c r="U129" s="509"/>
      <c r="V129" s="509"/>
      <c r="W129" s="509"/>
      <c r="X129" s="509"/>
      <c r="Y129" s="509"/>
      <c r="Z129" s="509"/>
      <c r="AA129" s="509"/>
      <c r="AB129" s="509"/>
      <c r="AC129" s="509"/>
      <c r="AD129" s="509"/>
      <c r="AE129" s="417"/>
      <c r="AF129" s="510"/>
    </row>
    <row r="130" spans="1:32" s="59" customFormat="1" ht="13.8" x14ac:dyDescent="0.25">
      <c r="B130" s="60"/>
      <c r="C130" s="438" t="s">
        <v>3989</v>
      </c>
      <c r="D130" s="544" t="s">
        <v>3990</v>
      </c>
      <c r="E130" s="544"/>
      <c r="F130" s="544"/>
      <c r="G130" s="544"/>
      <c r="H130" s="544"/>
      <c r="I130" s="544"/>
      <c r="T130" s="60"/>
      <c r="U130" s="60"/>
    </row>
    <row r="131" spans="1:32" s="59" customFormat="1" ht="13.95" customHeight="1" x14ac:dyDescent="0.25">
      <c r="B131" s="60"/>
      <c r="C131" s="438" t="s">
        <v>3987</v>
      </c>
      <c r="D131" s="553" t="s">
        <v>3988</v>
      </c>
      <c r="E131" s="553"/>
      <c r="F131" s="553"/>
      <c r="G131" s="553"/>
      <c r="H131" s="553"/>
      <c r="I131" s="553"/>
      <c r="T131" s="60"/>
      <c r="U131" s="60"/>
    </row>
    <row r="132" spans="1:32" s="59" customFormat="1" ht="14.4" customHeight="1" x14ac:dyDescent="0.25">
      <c r="T132" s="60"/>
      <c r="U132" s="60"/>
    </row>
    <row r="133" spans="1:32" s="59" customFormat="1" ht="13.8" x14ac:dyDescent="0.25">
      <c r="A133" s="469"/>
      <c r="B133" s="743" t="s">
        <v>3984</v>
      </c>
      <c r="C133" s="743"/>
      <c r="D133" s="743"/>
      <c r="E133" s="743"/>
      <c r="F133" s="743"/>
      <c r="G133" s="743"/>
      <c r="H133" s="743"/>
      <c r="I133" s="743"/>
      <c r="T133" s="304"/>
      <c r="U133" s="304"/>
    </row>
  </sheetData>
  <mergeCells count="250">
    <mergeCell ref="T112:T113"/>
    <mergeCell ref="U112:U113"/>
    <mergeCell ref="A116:A117"/>
    <mergeCell ref="B116:B117"/>
    <mergeCell ref="E116:E117"/>
    <mergeCell ref="F116:F117"/>
    <mergeCell ref="G116:G117"/>
    <mergeCell ref="S116:S117"/>
    <mergeCell ref="T116:T117"/>
    <mergeCell ref="U116:U117"/>
    <mergeCell ref="A112:A113"/>
    <mergeCell ref="B112:B113"/>
    <mergeCell ref="E112:E113"/>
    <mergeCell ref="F112:F113"/>
    <mergeCell ref="G112:G113"/>
    <mergeCell ref="S112:S113"/>
    <mergeCell ref="A108:A109"/>
    <mergeCell ref="B108:B109"/>
    <mergeCell ref="E108:E109"/>
    <mergeCell ref="F108:F109"/>
    <mergeCell ref="G108:G109"/>
    <mergeCell ref="S108:S109"/>
    <mergeCell ref="T108:T109"/>
    <mergeCell ref="U108:U109"/>
    <mergeCell ref="T99:T100"/>
    <mergeCell ref="U99:U100"/>
    <mergeCell ref="A104:A106"/>
    <mergeCell ref="B104:B106"/>
    <mergeCell ref="C104:C105"/>
    <mergeCell ref="D104:D105"/>
    <mergeCell ref="E104:E106"/>
    <mergeCell ref="F104:F106"/>
    <mergeCell ref="G104:G106"/>
    <mergeCell ref="S104:S106"/>
    <mergeCell ref="T104:T106"/>
    <mergeCell ref="U104:U106"/>
    <mergeCell ref="A99:A100"/>
    <mergeCell ref="U96:U98"/>
    <mergeCell ref="C97:C98"/>
    <mergeCell ref="D97:D98"/>
    <mergeCell ref="A90:A93"/>
    <mergeCell ref="B90:B93"/>
    <mergeCell ref="E90:E93"/>
    <mergeCell ref="F90:F93"/>
    <mergeCell ref="G90:G93"/>
    <mergeCell ref="S90:S93"/>
    <mergeCell ref="T90:T93"/>
    <mergeCell ref="U90:U93"/>
    <mergeCell ref="R92:R93"/>
    <mergeCell ref="A96:A98"/>
    <mergeCell ref="B96:B98"/>
    <mergeCell ref="E96:E98"/>
    <mergeCell ref="F96:F98"/>
    <mergeCell ref="G96:G98"/>
    <mergeCell ref="S96:S98"/>
    <mergeCell ref="A94:A95"/>
    <mergeCell ref="T94:T95"/>
    <mergeCell ref="U94:U95"/>
    <mergeCell ref="T96:T98"/>
    <mergeCell ref="A88:A89"/>
    <mergeCell ref="B88:B89"/>
    <mergeCell ref="E88:E89"/>
    <mergeCell ref="F88:F89"/>
    <mergeCell ref="G88:G89"/>
    <mergeCell ref="S88:S89"/>
    <mergeCell ref="B99:B100"/>
    <mergeCell ref="E99:E100"/>
    <mergeCell ref="F99:F100"/>
    <mergeCell ref="G99:G100"/>
    <mergeCell ref="S99:S100"/>
    <mergeCell ref="U80:U81"/>
    <mergeCell ref="S84:S87"/>
    <mergeCell ref="T84:T87"/>
    <mergeCell ref="U84:U87"/>
    <mergeCell ref="C85:C87"/>
    <mergeCell ref="B94:B95"/>
    <mergeCell ref="E94:E95"/>
    <mergeCell ref="F94:F95"/>
    <mergeCell ref="G94:G95"/>
    <mergeCell ref="S94:S95"/>
    <mergeCell ref="D85:D87"/>
    <mergeCell ref="T88:T89"/>
    <mergeCell ref="U88:U89"/>
    <mergeCell ref="B80:B81"/>
    <mergeCell ref="E80:E81"/>
    <mergeCell ref="F80:F81"/>
    <mergeCell ref="G80:G81"/>
    <mergeCell ref="H80:H81"/>
    <mergeCell ref="S80:S81"/>
    <mergeCell ref="T80:T81"/>
    <mergeCell ref="A77:A79"/>
    <mergeCell ref="B77:B79"/>
    <mergeCell ref="E77:E79"/>
    <mergeCell ref="F77:F79"/>
    <mergeCell ref="G77:G79"/>
    <mergeCell ref="S77:S79"/>
    <mergeCell ref="A84:A87"/>
    <mergeCell ref="B84:B87"/>
    <mergeCell ref="E84:E87"/>
    <mergeCell ref="F84:F87"/>
    <mergeCell ref="G84:G87"/>
    <mergeCell ref="F72:F76"/>
    <mergeCell ref="G72:G76"/>
    <mergeCell ref="S72:S76"/>
    <mergeCell ref="T72:T76"/>
    <mergeCell ref="U72:U76"/>
    <mergeCell ref="A69:A71"/>
    <mergeCell ref="B69:B71"/>
    <mergeCell ref="E69:E71"/>
    <mergeCell ref="F69:F71"/>
    <mergeCell ref="G69:G71"/>
    <mergeCell ref="S69:S71"/>
    <mergeCell ref="T77:T79"/>
    <mergeCell ref="U77:U79"/>
    <mergeCell ref="A80:A81"/>
    <mergeCell ref="T64:T65"/>
    <mergeCell ref="U64:U65"/>
    <mergeCell ref="A67:A68"/>
    <mergeCell ref="B67:B68"/>
    <mergeCell ref="E67:E68"/>
    <mergeCell ref="F67:F68"/>
    <mergeCell ref="G67:G68"/>
    <mergeCell ref="S67:S68"/>
    <mergeCell ref="T67:T68"/>
    <mergeCell ref="U67:U68"/>
    <mergeCell ref="A64:A65"/>
    <mergeCell ref="B64:B65"/>
    <mergeCell ref="E64:E65"/>
    <mergeCell ref="F64:F65"/>
    <mergeCell ref="G64:G65"/>
    <mergeCell ref="S64:S65"/>
    <mergeCell ref="T69:T71"/>
    <mergeCell ref="U69:U71"/>
    <mergeCell ref="A72:A76"/>
    <mergeCell ref="B72:B76"/>
    <mergeCell ref="E72:E76"/>
    <mergeCell ref="A61:A63"/>
    <mergeCell ref="B61:B63"/>
    <mergeCell ref="E61:E63"/>
    <mergeCell ref="F61:F63"/>
    <mergeCell ref="G61:G63"/>
    <mergeCell ref="S61:S63"/>
    <mergeCell ref="T61:T63"/>
    <mergeCell ref="U61:U63"/>
    <mergeCell ref="A56:A60"/>
    <mergeCell ref="B56:B60"/>
    <mergeCell ref="E56:E60"/>
    <mergeCell ref="F56:F60"/>
    <mergeCell ref="G56:G60"/>
    <mergeCell ref="S56:S60"/>
    <mergeCell ref="A54:A55"/>
    <mergeCell ref="B54:B55"/>
    <mergeCell ref="E54:E55"/>
    <mergeCell ref="F54:F55"/>
    <mergeCell ref="G54:G55"/>
    <mergeCell ref="S54:S55"/>
    <mergeCell ref="T54:T55"/>
    <mergeCell ref="U54:U55"/>
    <mergeCell ref="T56:T60"/>
    <mergeCell ref="U56:U60"/>
    <mergeCell ref="U43:U48"/>
    <mergeCell ref="A50:A51"/>
    <mergeCell ref="B50:B51"/>
    <mergeCell ref="E50:E51"/>
    <mergeCell ref="F50:F51"/>
    <mergeCell ref="G50:G51"/>
    <mergeCell ref="S50:S51"/>
    <mergeCell ref="T50:T51"/>
    <mergeCell ref="U50:U51"/>
    <mergeCell ref="A43:A48"/>
    <mergeCell ref="B43:B48"/>
    <mergeCell ref="C43:C48"/>
    <mergeCell ref="D43:D48"/>
    <mergeCell ref="E43:E48"/>
    <mergeCell ref="F43:F48"/>
    <mergeCell ref="G43:G48"/>
    <mergeCell ref="S43:S48"/>
    <mergeCell ref="T43:T48"/>
    <mergeCell ref="U31:U40"/>
    <mergeCell ref="C33:C36"/>
    <mergeCell ref="D33:D36"/>
    <mergeCell ref="F33:F36"/>
    <mergeCell ref="G33:G36"/>
    <mergeCell ref="C37:C39"/>
    <mergeCell ref="D37:D39"/>
    <mergeCell ref="F37:F39"/>
    <mergeCell ref="G37:G39"/>
    <mergeCell ref="G15:G30"/>
    <mergeCell ref="S15:S30"/>
    <mergeCell ref="T15:T30"/>
    <mergeCell ref="C20:C30"/>
    <mergeCell ref="D20:D30"/>
    <mergeCell ref="A31:A40"/>
    <mergeCell ref="B31:B40"/>
    <mergeCell ref="C31:C32"/>
    <mergeCell ref="D31:D32"/>
    <mergeCell ref="E31:E40"/>
    <mergeCell ref="A15:A30"/>
    <mergeCell ref="B15:B30"/>
    <mergeCell ref="C15:C18"/>
    <mergeCell ref="D15:D18"/>
    <mergeCell ref="E15:E30"/>
    <mergeCell ref="F15:F30"/>
    <mergeCell ref="F31:F32"/>
    <mergeCell ref="G31:G32"/>
    <mergeCell ref="S31:S40"/>
    <mergeCell ref="T31:T40"/>
    <mergeCell ref="S7:S8"/>
    <mergeCell ref="T7:T8"/>
    <mergeCell ref="U7:U8"/>
    <mergeCell ref="A11:A12"/>
    <mergeCell ref="B11:B12"/>
    <mergeCell ref="E11:E12"/>
    <mergeCell ref="R11:R12"/>
    <mergeCell ref="S11:S12"/>
    <mergeCell ref="T11:T12"/>
    <mergeCell ref="U11:U12"/>
    <mergeCell ref="N4:N5"/>
    <mergeCell ref="O4:O5"/>
    <mergeCell ref="P4:P5"/>
    <mergeCell ref="Q4:Q5"/>
    <mergeCell ref="R4:R5"/>
    <mergeCell ref="A7:A8"/>
    <mergeCell ref="B7:B8"/>
    <mergeCell ref="E7:E8"/>
    <mergeCell ref="R7:R8"/>
    <mergeCell ref="D127:F127"/>
    <mergeCell ref="D130:I130"/>
    <mergeCell ref="D131:I131"/>
    <mergeCell ref="B133:I133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8BE6C-9A14-48E4-89FD-60B0807CA6E2}">
  <dimension ref="A1:AF170"/>
  <sheetViews>
    <sheetView workbookViewId="0">
      <selection activeCell="V6" sqref="V6"/>
    </sheetView>
  </sheetViews>
  <sheetFormatPr defaultColWidth="8.88671875" defaultRowHeight="13.8" x14ac:dyDescent="0.25"/>
  <cols>
    <col min="1" max="1" width="19.6640625" style="429" customWidth="1"/>
    <col min="2" max="2" width="30.6640625" style="304" customWidth="1"/>
    <col min="3" max="3" width="10.5546875" style="59" customWidth="1"/>
    <col min="4" max="4" width="9" style="59" customWidth="1"/>
    <col min="5" max="5" width="11.33203125" style="59" bestFit="1" customWidth="1"/>
    <col min="6" max="6" width="10.33203125" style="312" customWidth="1"/>
    <col min="7" max="7" width="10.88671875" style="59" customWidth="1"/>
    <col min="8" max="8" width="14" style="59" customWidth="1"/>
    <col min="9" max="9" width="15.6640625" style="59" customWidth="1"/>
    <col min="10" max="10" width="16.88671875" style="59" customWidth="1"/>
    <col min="11" max="11" width="8.109375" style="59" customWidth="1"/>
    <col min="12" max="12" width="10.109375" style="59" customWidth="1"/>
    <col min="13" max="13" width="15.5546875" style="59" customWidth="1"/>
    <col min="14" max="14" width="12" style="59" customWidth="1"/>
    <col min="15" max="15" width="12.6640625" style="59" customWidth="1"/>
    <col min="16" max="16" width="9.33203125" style="59" customWidth="1"/>
    <col min="17" max="17" width="9.5546875" style="59" customWidth="1"/>
    <col min="18" max="18" width="20.6640625" style="59" customWidth="1"/>
    <col min="19" max="19" width="10" style="59" customWidth="1"/>
    <col min="20" max="20" width="45.6640625" style="60" customWidth="1"/>
    <col min="21" max="21" width="29.88671875" style="59" customWidth="1"/>
    <col min="22" max="22" width="23.88671875" style="59" customWidth="1"/>
    <col min="23" max="16384" width="8.88671875" style="59"/>
  </cols>
  <sheetData>
    <row r="1" spans="1:21" ht="18" thickBot="1" x14ac:dyDescent="0.3">
      <c r="A1" s="589" t="s">
        <v>3084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15" customHeight="1" x14ac:dyDescent="0.25">
      <c r="A2" s="1125" t="s">
        <v>1</v>
      </c>
      <c r="B2" s="1128" t="s">
        <v>2</v>
      </c>
      <c r="C2" s="1128" t="s">
        <v>3</v>
      </c>
      <c r="D2" s="1128"/>
      <c r="E2" s="1128"/>
      <c r="F2" s="1128"/>
      <c r="G2" s="1128"/>
      <c r="H2" s="1128"/>
      <c r="I2" s="1128"/>
      <c r="J2" s="1128"/>
      <c r="K2" s="1128"/>
      <c r="L2" s="1128"/>
      <c r="M2" s="1128"/>
      <c r="N2" s="1128"/>
      <c r="O2" s="1128"/>
      <c r="P2" s="1128"/>
      <c r="Q2" s="1128"/>
      <c r="R2" s="1128" t="s">
        <v>4</v>
      </c>
      <c r="S2" s="1128" t="s">
        <v>5</v>
      </c>
      <c r="T2" s="1128" t="s">
        <v>207</v>
      </c>
      <c r="U2" s="1131" t="s">
        <v>7</v>
      </c>
    </row>
    <row r="3" spans="1:21" ht="27" customHeight="1" x14ac:dyDescent="0.25">
      <c r="A3" s="1126"/>
      <c r="B3" s="1129"/>
      <c r="C3" s="1129" t="s">
        <v>8</v>
      </c>
      <c r="D3" s="1129"/>
      <c r="E3" s="1129"/>
      <c r="F3" s="1129"/>
      <c r="G3" s="1129"/>
      <c r="H3" s="1129" t="s">
        <v>9</v>
      </c>
      <c r="I3" s="1129"/>
      <c r="J3" s="1129"/>
      <c r="K3" s="1129"/>
      <c r="L3" s="1129"/>
      <c r="M3" s="1129"/>
      <c r="N3" s="1129"/>
      <c r="O3" s="1129"/>
      <c r="P3" s="1129" t="s">
        <v>10</v>
      </c>
      <c r="Q3" s="1129"/>
      <c r="R3" s="1129"/>
      <c r="S3" s="1129"/>
      <c r="T3" s="1129"/>
      <c r="U3" s="1132"/>
    </row>
    <row r="4" spans="1:21" ht="15" customHeight="1" x14ac:dyDescent="0.25">
      <c r="A4" s="1126"/>
      <c r="B4" s="1129"/>
      <c r="C4" s="1129" t="s">
        <v>11</v>
      </c>
      <c r="D4" s="1129"/>
      <c r="E4" s="1129" t="s">
        <v>12</v>
      </c>
      <c r="F4" s="1129" t="s">
        <v>13</v>
      </c>
      <c r="G4" s="1129" t="s">
        <v>14</v>
      </c>
      <c r="H4" s="1129" t="s">
        <v>15</v>
      </c>
      <c r="I4" s="1129" t="s">
        <v>16</v>
      </c>
      <c r="J4" s="1129"/>
      <c r="K4" s="1129" t="s">
        <v>17</v>
      </c>
      <c r="L4" s="1129" t="s">
        <v>13</v>
      </c>
      <c r="M4" s="1129" t="s">
        <v>18</v>
      </c>
      <c r="N4" s="1129" t="s">
        <v>19</v>
      </c>
      <c r="O4" s="1129" t="s">
        <v>210</v>
      </c>
      <c r="P4" s="1129" t="s">
        <v>20</v>
      </c>
      <c r="Q4" s="1129" t="s">
        <v>17</v>
      </c>
      <c r="R4" s="1129" t="s">
        <v>21</v>
      </c>
      <c r="S4" s="1129"/>
      <c r="T4" s="1129"/>
      <c r="U4" s="1132"/>
    </row>
    <row r="5" spans="1:21" ht="76.2" customHeight="1" thickBot="1" x14ac:dyDescent="0.3">
      <c r="A5" s="1127"/>
      <c r="B5" s="1130"/>
      <c r="C5" s="426" t="s">
        <v>22</v>
      </c>
      <c r="D5" s="426" t="s">
        <v>23</v>
      </c>
      <c r="E5" s="1130"/>
      <c r="F5" s="1130"/>
      <c r="G5" s="1130"/>
      <c r="H5" s="1130"/>
      <c r="I5" s="426" t="s">
        <v>24</v>
      </c>
      <c r="J5" s="426" t="s">
        <v>25</v>
      </c>
      <c r="K5" s="1130"/>
      <c r="L5" s="1130"/>
      <c r="M5" s="1130"/>
      <c r="N5" s="1130"/>
      <c r="O5" s="1130"/>
      <c r="P5" s="1130"/>
      <c r="Q5" s="1130"/>
      <c r="R5" s="1130"/>
      <c r="S5" s="1130"/>
      <c r="T5" s="1130"/>
      <c r="U5" s="1133"/>
    </row>
    <row r="6" spans="1:21" ht="14.4" thickBot="1" x14ac:dyDescent="0.3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ht="24.6" thickBot="1" x14ac:dyDescent="0.3">
      <c r="A7" s="55" t="s">
        <v>3085</v>
      </c>
      <c r="B7" s="45" t="s">
        <v>221</v>
      </c>
      <c r="C7" s="68">
        <v>0</v>
      </c>
      <c r="D7" s="68">
        <v>1.1399999999999999</v>
      </c>
      <c r="E7" s="68">
        <v>1.1399999999999999</v>
      </c>
      <c r="F7" s="82">
        <v>9450</v>
      </c>
      <c r="G7" s="57" t="s">
        <v>32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>
        <v>70860100137</v>
      </c>
      <c r="S7" s="94" t="s">
        <v>3086</v>
      </c>
      <c r="T7" s="57" t="s">
        <v>215</v>
      </c>
      <c r="U7" s="342"/>
    </row>
    <row r="8" spans="1:21" x14ac:dyDescent="0.25">
      <c r="A8" s="604" t="s">
        <v>3087</v>
      </c>
      <c r="B8" s="607" t="s">
        <v>3088</v>
      </c>
      <c r="C8" s="43">
        <v>0</v>
      </c>
      <c r="D8" s="43">
        <v>0.38</v>
      </c>
      <c r="E8" s="645">
        <v>0.68</v>
      </c>
      <c r="F8" s="44">
        <v>1710</v>
      </c>
      <c r="G8" s="33" t="s">
        <v>32</v>
      </c>
      <c r="H8" s="640"/>
      <c r="I8" s="640"/>
      <c r="J8" s="640"/>
      <c r="K8" s="640"/>
      <c r="L8" s="640"/>
      <c r="M8" s="640"/>
      <c r="N8" s="640"/>
      <c r="O8" s="640"/>
      <c r="P8" s="640"/>
      <c r="Q8" s="640"/>
      <c r="R8" s="640">
        <v>70860100139</v>
      </c>
      <c r="S8" s="640" t="s">
        <v>3086</v>
      </c>
      <c r="T8" s="641" t="s">
        <v>215</v>
      </c>
      <c r="U8" s="744"/>
    </row>
    <row r="9" spans="1:21" ht="14.4" thickBot="1" x14ac:dyDescent="0.3">
      <c r="A9" s="606"/>
      <c r="B9" s="609"/>
      <c r="C9" s="46">
        <v>0.38</v>
      </c>
      <c r="D9" s="46">
        <v>0.68</v>
      </c>
      <c r="E9" s="646"/>
      <c r="F9" s="47">
        <v>960</v>
      </c>
      <c r="G9" s="20" t="s">
        <v>51</v>
      </c>
      <c r="H9" s="631"/>
      <c r="I9" s="631"/>
      <c r="J9" s="631"/>
      <c r="K9" s="631"/>
      <c r="L9" s="631"/>
      <c r="M9" s="631"/>
      <c r="N9" s="631"/>
      <c r="O9" s="631"/>
      <c r="P9" s="631"/>
      <c r="Q9" s="631"/>
      <c r="R9" s="631"/>
      <c r="S9" s="631"/>
      <c r="T9" s="634"/>
      <c r="U9" s="745"/>
    </row>
    <row r="10" spans="1:21" x14ac:dyDescent="0.25">
      <c r="A10" s="604" t="s">
        <v>3089</v>
      </c>
      <c r="B10" s="607" t="s">
        <v>3090</v>
      </c>
      <c r="C10" s="43">
        <v>0</v>
      </c>
      <c r="D10" s="43">
        <v>0.73</v>
      </c>
      <c r="E10" s="645">
        <v>0.8</v>
      </c>
      <c r="F10" s="647">
        <v>3650</v>
      </c>
      <c r="G10" s="641" t="s">
        <v>51</v>
      </c>
      <c r="H10" s="34"/>
      <c r="I10" s="34"/>
      <c r="J10" s="34"/>
      <c r="K10" s="34"/>
      <c r="L10" s="34"/>
      <c r="M10" s="34"/>
      <c r="N10" s="34"/>
      <c r="O10" s="34"/>
      <c r="P10" s="34">
        <v>67.5</v>
      </c>
      <c r="Q10" s="34">
        <v>45</v>
      </c>
      <c r="R10" s="34">
        <v>70860100255</v>
      </c>
      <c r="S10" s="640" t="s">
        <v>3086</v>
      </c>
      <c r="T10" s="641" t="s">
        <v>215</v>
      </c>
      <c r="U10" s="642"/>
    </row>
    <row r="11" spans="1:21" ht="14.4" thickBot="1" x14ac:dyDescent="0.3">
      <c r="A11" s="606"/>
      <c r="B11" s="609"/>
      <c r="C11" s="46">
        <v>0.73</v>
      </c>
      <c r="D11" s="46">
        <v>0.8</v>
      </c>
      <c r="E11" s="646"/>
      <c r="F11" s="648"/>
      <c r="G11" s="634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>
        <v>70860100268</v>
      </c>
      <c r="S11" s="631"/>
      <c r="T11" s="634"/>
      <c r="U11" s="637"/>
    </row>
    <row r="12" spans="1:21" ht="15.6" customHeight="1" x14ac:dyDescent="0.25">
      <c r="A12" s="604" t="s">
        <v>3091</v>
      </c>
      <c r="B12" s="607" t="s">
        <v>2620</v>
      </c>
      <c r="C12" s="645">
        <v>0</v>
      </c>
      <c r="D12" s="645">
        <v>0.46</v>
      </c>
      <c r="E12" s="645">
        <v>0.64</v>
      </c>
      <c r="F12" s="647">
        <v>3150</v>
      </c>
      <c r="G12" s="641" t="s">
        <v>32</v>
      </c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 t="s">
        <v>3092</v>
      </c>
      <c r="S12" s="640" t="s">
        <v>3086</v>
      </c>
      <c r="T12" s="641" t="s">
        <v>215</v>
      </c>
      <c r="U12" s="642"/>
    </row>
    <row r="13" spans="1:21" x14ac:dyDescent="0.25">
      <c r="A13" s="605"/>
      <c r="B13" s="608"/>
      <c r="C13" s="654"/>
      <c r="D13" s="654"/>
      <c r="E13" s="654"/>
      <c r="F13" s="655"/>
      <c r="G13" s="6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 t="s">
        <v>3093</v>
      </c>
      <c r="S13" s="621"/>
      <c r="T13" s="633"/>
      <c r="U13" s="636"/>
    </row>
    <row r="14" spans="1:21" x14ac:dyDescent="0.25">
      <c r="A14" s="605"/>
      <c r="B14" s="608"/>
      <c r="C14" s="654"/>
      <c r="D14" s="654"/>
      <c r="E14" s="654"/>
      <c r="F14" s="655"/>
      <c r="G14" s="6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 t="s">
        <v>3094</v>
      </c>
      <c r="S14" s="621"/>
      <c r="T14" s="633"/>
      <c r="U14" s="636"/>
    </row>
    <row r="15" spans="1:21" x14ac:dyDescent="0.25">
      <c r="A15" s="605"/>
      <c r="B15" s="608"/>
      <c r="C15" s="654"/>
      <c r="D15" s="654"/>
      <c r="E15" s="654"/>
      <c r="F15" s="655"/>
      <c r="G15" s="6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 t="s">
        <v>3095</v>
      </c>
      <c r="S15" s="621"/>
      <c r="T15" s="633"/>
      <c r="U15" s="636"/>
    </row>
    <row r="16" spans="1:21" x14ac:dyDescent="0.25">
      <c r="A16" s="605"/>
      <c r="B16" s="608"/>
      <c r="C16" s="654"/>
      <c r="D16" s="654"/>
      <c r="E16" s="654"/>
      <c r="F16" s="655"/>
      <c r="G16" s="6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 t="s">
        <v>3096</v>
      </c>
      <c r="S16" s="621"/>
      <c r="T16" s="633"/>
      <c r="U16" s="636"/>
    </row>
    <row r="17" spans="1:22" x14ac:dyDescent="0.25">
      <c r="A17" s="605"/>
      <c r="B17" s="608"/>
      <c r="C17" s="654"/>
      <c r="D17" s="654"/>
      <c r="E17" s="654"/>
      <c r="F17" s="655"/>
      <c r="G17" s="6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>
        <v>70860100295</v>
      </c>
      <c r="S17" s="621"/>
      <c r="T17" s="633"/>
      <c r="U17" s="636"/>
    </row>
    <row r="18" spans="1:22" x14ac:dyDescent="0.25">
      <c r="A18" s="605"/>
      <c r="B18" s="608"/>
      <c r="C18" s="654"/>
      <c r="D18" s="654"/>
      <c r="E18" s="654"/>
      <c r="F18" s="655"/>
      <c r="G18" s="6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>
        <v>70860100292</v>
      </c>
      <c r="S18" s="621"/>
      <c r="T18" s="633"/>
      <c r="U18" s="636"/>
    </row>
    <row r="19" spans="1:22" x14ac:dyDescent="0.25">
      <c r="A19" s="605"/>
      <c r="B19" s="608"/>
      <c r="C19" s="654"/>
      <c r="D19" s="654"/>
      <c r="E19" s="654"/>
      <c r="F19" s="655"/>
      <c r="G19" s="6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 t="s">
        <v>3097</v>
      </c>
      <c r="S19" s="621"/>
      <c r="T19" s="633"/>
      <c r="U19" s="636"/>
    </row>
    <row r="20" spans="1:22" x14ac:dyDescent="0.25">
      <c r="A20" s="605"/>
      <c r="B20" s="608"/>
      <c r="C20" s="654"/>
      <c r="D20" s="654"/>
      <c r="E20" s="654"/>
      <c r="F20" s="655"/>
      <c r="G20" s="6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 t="s">
        <v>3098</v>
      </c>
      <c r="S20" s="621"/>
      <c r="T20" s="633"/>
      <c r="U20" s="636"/>
    </row>
    <row r="21" spans="1:22" x14ac:dyDescent="0.25">
      <c r="A21" s="605"/>
      <c r="B21" s="608"/>
      <c r="C21" s="654"/>
      <c r="D21" s="654"/>
      <c r="E21" s="654"/>
      <c r="F21" s="655"/>
      <c r="G21" s="6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 t="s">
        <v>3099</v>
      </c>
      <c r="S21" s="621"/>
      <c r="T21" s="633"/>
      <c r="U21" s="636"/>
    </row>
    <row r="22" spans="1:22" x14ac:dyDescent="0.25">
      <c r="A22" s="605"/>
      <c r="B22" s="608"/>
      <c r="C22" s="654"/>
      <c r="D22" s="654"/>
      <c r="E22" s="654"/>
      <c r="F22" s="655"/>
      <c r="G22" s="63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 t="s">
        <v>3100</v>
      </c>
      <c r="S22" s="621"/>
      <c r="T22" s="633"/>
      <c r="U22" s="636"/>
    </row>
    <row r="23" spans="1:22" x14ac:dyDescent="0.25">
      <c r="A23" s="605"/>
      <c r="B23" s="608"/>
      <c r="C23" s="654"/>
      <c r="D23" s="654"/>
      <c r="E23" s="654"/>
      <c r="F23" s="655"/>
      <c r="G23" s="63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 t="s">
        <v>3101</v>
      </c>
      <c r="S23" s="621"/>
      <c r="T23" s="633"/>
      <c r="U23" s="636"/>
    </row>
    <row r="24" spans="1:22" x14ac:dyDescent="0.25">
      <c r="A24" s="605"/>
      <c r="B24" s="608"/>
      <c r="C24" s="654"/>
      <c r="D24" s="654"/>
      <c r="E24" s="654"/>
      <c r="F24" s="655"/>
      <c r="G24" s="6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 t="s">
        <v>3102</v>
      </c>
      <c r="S24" s="621"/>
      <c r="T24" s="633"/>
      <c r="U24" s="636"/>
    </row>
    <row r="25" spans="1:22" x14ac:dyDescent="0.25">
      <c r="A25" s="605"/>
      <c r="B25" s="608"/>
      <c r="C25" s="654">
        <v>0.46</v>
      </c>
      <c r="D25" s="654">
        <v>0.49</v>
      </c>
      <c r="E25" s="654"/>
      <c r="F25" s="655"/>
      <c r="G25" s="6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>
        <v>70860100295</v>
      </c>
      <c r="S25" s="621"/>
      <c r="T25" s="633"/>
      <c r="U25" s="636"/>
      <c r="V25" s="304"/>
    </row>
    <row r="26" spans="1:22" x14ac:dyDescent="0.25">
      <c r="A26" s="605"/>
      <c r="B26" s="608"/>
      <c r="C26" s="654"/>
      <c r="D26" s="654"/>
      <c r="E26" s="654"/>
      <c r="F26" s="655"/>
      <c r="G26" s="63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>
        <v>70860100292</v>
      </c>
      <c r="S26" s="621"/>
      <c r="T26" s="633"/>
      <c r="U26" s="636"/>
    </row>
    <row r="27" spans="1:22" x14ac:dyDescent="0.25">
      <c r="A27" s="605"/>
      <c r="B27" s="608"/>
      <c r="C27" s="654">
        <v>0.49</v>
      </c>
      <c r="D27" s="654">
        <v>0.62</v>
      </c>
      <c r="E27" s="654"/>
      <c r="F27" s="655"/>
      <c r="G27" s="63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 t="s">
        <v>3103</v>
      </c>
      <c r="S27" s="621"/>
      <c r="T27" s="633"/>
      <c r="U27" s="636"/>
      <c r="V27" s="304"/>
    </row>
    <row r="28" spans="1:22" x14ac:dyDescent="0.25">
      <c r="A28" s="605"/>
      <c r="B28" s="608"/>
      <c r="C28" s="654"/>
      <c r="D28" s="654"/>
      <c r="E28" s="654"/>
      <c r="F28" s="655"/>
      <c r="G28" s="63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 t="s">
        <v>3097</v>
      </c>
      <c r="S28" s="621"/>
      <c r="T28" s="633"/>
      <c r="U28" s="636"/>
      <c r="V28" s="304"/>
    </row>
    <row r="29" spans="1:22" x14ac:dyDescent="0.25">
      <c r="A29" s="605"/>
      <c r="B29" s="608"/>
      <c r="C29" s="654"/>
      <c r="D29" s="654"/>
      <c r="E29" s="654"/>
      <c r="F29" s="655"/>
      <c r="G29" s="63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 t="s">
        <v>3104</v>
      </c>
      <c r="S29" s="621"/>
      <c r="T29" s="633"/>
      <c r="U29" s="636"/>
      <c r="V29" s="304"/>
    </row>
    <row r="30" spans="1:22" x14ac:dyDescent="0.25">
      <c r="A30" s="605"/>
      <c r="B30" s="608"/>
      <c r="C30" s="654"/>
      <c r="D30" s="654"/>
      <c r="E30" s="654"/>
      <c r="F30" s="655"/>
      <c r="G30" s="63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 t="s">
        <v>3105</v>
      </c>
      <c r="S30" s="621"/>
      <c r="T30" s="633"/>
      <c r="U30" s="636"/>
    </row>
    <row r="31" spans="1:22" x14ac:dyDescent="0.25">
      <c r="A31" s="605"/>
      <c r="B31" s="608"/>
      <c r="C31" s="654">
        <v>0.62</v>
      </c>
      <c r="D31" s="654">
        <v>0.64</v>
      </c>
      <c r="E31" s="654"/>
      <c r="F31" s="655"/>
      <c r="G31" s="6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 t="s">
        <v>3098</v>
      </c>
      <c r="S31" s="621"/>
      <c r="T31" s="633"/>
      <c r="U31" s="636"/>
    </row>
    <row r="32" spans="1:22" x14ac:dyDescent="0.25">
      <c r="A32" s="605"/>
      <c r="B32" s="608"/>
      <c r="C32" s="654"/>
      <c r="D32" s="654"/>
      <c r="E32" s="654"/>
      <c r="F32" s="655"/>
      <c r="G32" s="6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 t="s">
        <v>3106</v>
      </c>
      <c r="S32" s="621"/>
      <c r="T32" s="633"/>
      <c r="U32" s="636"/>
    </row>
    <row r="33" spans="1:21" ht="14.4" thickBot="1" x14ac:dyDescent="0.3">
      <c r="A33" s="606"/>
      <c r="B33" s="609"/>
      <c r="C33" s="646"/>
      <c r="D33" s="646"/>
      <c r="E33" s="646"/>
      <c r="F33" s="648"/>
      <c r="G33" s="634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 t="s">
        <v>3100</v>
      </c>
      <c r="S33" s="631"/>
      <c r="T33" s="634"/>
      <c r="U33" s="637"/>
    </row>
    <row r="34" spans="1:21" x14ac:dyDescent="0.25">
      <c r="A34" s="604" t="s">
        <v>3107</v>
      </c>
      <c r="B34" s="607" t="s">
        <v>87</v>
      </c>
      <c r="C34" s="43">
        <v>0</v>
      </c>
      <c r="D34" s="43">
        <v>6.0000000000000001E-3</v>
      </c>
      <c r="E34" s="645">
        <v>0.25</v>
      </c>
      <c r="F34" s="647">
        <v>600</v>
      </c>
      <c r="G34" s="641" t="s">
        <v>51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 t="s">
        <v>3092</v>
      </c>
      <c r="S34" s="641" t="s">
        <v>3086</v>
      </c>
      <c r="T34" s="641" t="s">
        <v>215</v>
      </c>
      <c r="U34" s="642"/>
    </row>
    <row r="35" spans="1:21" x14ac:dyDescent="0.25">
      <c r="A35" s="605"/>
      <c r="B35" s="608"/>
      <c r="C35" s="48">
        <f>D34</f>
        <v>6.0000000000000001E-3</v>
      </c>
      <c r="D35" s="48">
        <f>C35+0.004</f>
        <v>0.01</v>
      </c>
      <c r="E35" s="654"/>
      <c r="F35" s="655"/>
      <c r="G35" s="63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 t="s">
        <v>3108</v>
      </c>
      <c r="S35" s="633"/>
      <c r="T35" s="633"/>
      <c r="U35" s="636"/>
    </row>
    <row r="36" spans="1:21" x14ac:dyDescent="0.25">
      <c r="A36" s="605"/>
      <c r="B36" s="608"/>
      <c r="C36" s="48">
        <f>D35</f>
        <v>0.01</v>
      </c>
      <c r="D36" s="48">
        <f>C36+0.017</f>
        <v>2.7000000000000003E-2</v>
      </c>
      <c r="E36" s="654"/>
      <c r="F36" s="655"/>
      <c r="G36" s="63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 t="s">
        <v>3109</v>
      </c>
      <c r="S36" s="633"/>
      <c r="T36" s="633"/>
      <c r="U36" s="636"/>
    </row>
    <row r="37" spans="1:21" x14ac:dyDescent="0.25">
      <c r="A37" s="605"/>
      <c r="B37" s="608"/>
      <c r="C37" s="48">
        <f>D36</f>
        <v>2.7000000000000003E-2</v>
      </c>
      <c r="D37" s="48">
        <f>C37+0.026</f>
        <v>5.3000000000000005E-2</v>
      </c>
      <c r="E37" s="654"/>
      <c r="F37" s="655"/>
      <c r="G37" s="63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 t="s">
        <v>3094</v>
      </c>
      <c r="S37" s="633"/>
      <c r="T37" s="633"/>
      <c r="U37" s="636"/>
    </row>
    <row r="38" spans="1:21" x14ac:dyDescent="0.25">
      <c r="A38" s="605"/>
      <c r="B38" s="608"/>
      <c r="C38" s="48">
        <f>D37</f>
        <v>5.3000000000000005E-2</v>
      </c>
      <c r="D38" s="48">
        <f>C38+0.024</f>
        <v>7.7000000000000013E-2</v>
      </c>
      <c r="E38" s="654"/>
      <c r="F38" s="655"/>
      <c r="G38" s="63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>
        <v>70860100158</v>
      </c>
      <c r="S38" s="633"/>
      <c r="T38" s="633"/>
      <c r="U38" s="636"/>
    </row>
    <row r="39" spans="1:21" x14ac:dyDescent="0.25">
      <c r="A39" s="605"/>
      <c r="B39" s="608"/>
      <c r="C39" s="48">
        <f>D38</f>
        <v>7.7000000000000013E-2</v>
      </c>
      <c r="D39" s="48">
        <v>0.15</v>
      </c>
      <c r="E39" s="654"/>
      <c r="F39" s="655"/>
      <c r="G39" s="63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633">
        <v>70860100294</v>
      </c>
      <c r="S39" s="633"/>
      <c r="T39" s="633"/>
      <c r="U39" s="636"/>
    </row>
    <row r="40" spans="1:21" x14ac:dyDescent="0.25">
      <c r="A40" s="605"/>
      <c r="B40" s="608"/>
      <c r="C40" s="48">
        <v>0.15</v>
      </c>
      <c r="D40" s="48">
        <v>0.16800000000000001</v>
      </c>
      <c r="E40" s="654"/>
      <c r="F40" s="655">
        <v>416</v>
      </c>
      <c r="G40" s="633" t="s">
        <v>32</v>
      </c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633"/>
      <c r="S40" s="633"/>
      <c r="T40" s="633"/>
      <c r="U40" s="636"/>
    </row>
    <row r="41" spans="1:21" ht="14.4" thickBot="1" x14ac:dyDescent="0.3">
      <c r="A41" s="606"/>
      <c r="B41" s="609"/>
      <c r="C41" s="46">
        <v>0.16800000000000001</v>
      </c>
      <c r="D41" s="46">
        <v>0.254</v>
      </c>
      <c r="E41" s="646"/>
      <c r="F41" s="648"/>
      <c r="G41" s="634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 t="s">
        <v>3110</v>
      </c>
      <c r="S41" s="634"/>
      <c r="T41" s="634"/>
      <c r="U41" s="637"/>
    </row>
    <row r="42" spans="1:21" x14ac:dyDescent="0.25">
      <c r="A42" s="604" t="s">
        <v>3111</v>
      </c>
      <c r="B42" s="607" t="s">
        <v>1708</v>
      </c>
      <c r="C42" s="43">
        <v>0</v>
      </c>
      <c r="D42" s="43">
        <v>0.28999999999999998</v>
      </c>
      <c r="E42" s="645">
        <v>0.49</v>
      </c>
      <c r="F42" s="44">
        <v>1160</v>
      </c>
      <c r="G42" s="33" t="s">
        <v>51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>
        <v>70860100258</v>
      </c>
      <c r="S42" s="640" t="s">
        <v>3086</v>
      </c>
      <c r="T42" s="641" t="s">
        <v>215</v>
      </c>
      <c r="U42" s="642"/>
    </row>
    <row r="43" spans="1:21" x14ac:dyDescent="0.25">
      <c r="A43" s="605"/>
      <c r="B43" s="608"/>
      <c r="C43" s="48">
        <v>0.28999999999999998</v>
      </c>
      <c r="D43" s="48">
        <v>0.378</v>
      </c>
      <c r="E43" s="654"/>
      <c r="F43" s="655">
        <v>900</v>
      </c>
      <c r="G43" s="633" t="s">
        <v>32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>
        <v>70860100258</v>
      </c>
      <c r="S43" s="621"/>
      <c r="T43" s="633"/>
      <c r="U43" s="636"/>
    </row>
    <row r="44" spans="1:21" ht="24.6" thickBot="1" x14ac:dyDescent="0.3">
      <c r="A44" s="606"/>
      <c r="B44" s="609"/>
      <c r="C44" s="46">
        <v>0.38400000000000001</v>
      </c>
      <c r="D44" s="46">
        <v>0.49</v>
      </c>
      <c r="E44" s="646"/>
      <c r="F44" s="648"/>
      <c r="G44" s="634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20" t="s">
        <v>3112</v>
      </c>
      <c r="S44" s="631"/>
      <c r="T44" s="634"/>
      <c r="U44" s="637"/>
    </row>
    <row r="45" spans="1:21" x14ac:dyDescent="0.25">
      <c r="A45" s="604" t="s">
        <v>3113</v>
      </c>
      <c r="B45" s="607" t="s">
        <v>36</v>
      </c>
      <c r="C45" s="43">
        <v>0</v>
      </c>
      <c r="D45" s="43">
        <v>0.2</v>
      </c>
      <c r="E45" s="645">
        <v>0.42</v>
      </c>
      <c r="F45" s="647">
        <v>2100</v>
      </c>
      <c r="G45" s="641" t="s">
        <v>51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640">
        <v>70860100246</v>
      </c>
      <c r="S45" s="640" t="s">
        <v>3086</v>
      </c>
      <c r="T45" s="641" t="s">
        <v>215</v>
      </c>
      <c r="U45" s="744"/>
    </row>
    <row r="46" spans="1:21" x14ac:dyDescent="0.25">
      <c r="A46" s="605"/>
      <c r="B46" s="608"/>
      <c r="C46" s="48">
        <v>0.2</v>
      </c>
      <c r="D46" s="48">
        <v>0.3</v>
      </c>
      <c r="E46" s="654"/>
      <c r="F46" s="655"/>
      <c r="G46" s="63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621"/>
      <c r="S46" s="621"/>
      <c r="T46" s="633"/>
      <c r="U46" s="750"/>
    </row>
    <row r="47" spans="1:21" ht="14.4" thickBot="1" x14ac:dyDescent="0.3">
      <c r="A47" s="606"/>
      <c r="B47" s="609"/>
      <c r="C47" s="46">
        <v>0.3</v>
      </c>
      <c r="D47" s="46">
        <v>0.42</v>
      </c>
      <c r="E47" s="646"/>
      <c r="F47" s="648"/>
      <c r="G47" s="634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631"/>
      <c r="S47" s="631"/>
      <c r="T47" s="634"/>
      <c r="U47" s="745"/>
    </row>
    <row r="48" spans="1:21" ht="24.6" thickBot="1" x14ac:dyDescent="0.3">
      <c r="A48" s="22" t="s">
        <v>3114</v>
      </c>
      <c r="B48" s="23" t="s">
        <v>230</v>
      </c>
      <c r="C48" s="41">
        <v>0</v>
      </c>
      <c r="D48" s="41">
        <v>0.08</v>
      </c>
      <c r="E48" s="41">
        <v>0.08</v>
      </c>
      <c r="F48" s="4">
        <v>425</v>
      </c>
      <c r="G48" s="3" t="s">
        <v>32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>
        <v>70860090112</v>
      </c>
      <c r="S48" s="3" t="s">
        <v>3115</v>
      </c>
      <c r="T48" s="3" t="s">
        <v>215</v>
      </c>
      <c r="U48" s="5"/>
    </row>
    <row r="49" spans="1:21" ht="19.5" customHeight="1" x14ac:dyDescent="0.25">
      <c r="A49" s="604" t="s">
        <v>3116</v>
      </c>
      <c r="B49" s="607" t="s">
        <v>3117</v>
      </c>
      <c r="C49" s="645">
        <v>0</v>
      </c>
      <c r="D49" s="645">
        <v>0.26</v>
      </c>
      <c r="E49" s="645">
        <v>0.26</v>
      </c>
      <c r="F49" s="647">
        <v>1300</v>
      </c>
      <c r="G49" s="641" t="s">
        <v>32</v>
      </c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 t="s">
        <v>3118</v>
      </c>
      <c r="S49" s="641" t="s">
        <v>3115</v>
      </c>
      <c r="T49" s="641" t="s">
        <v>215</v>
      </c>
      <c r="U49" s="642"/>
    </row>
    <row r="50" spans="1:21" x14ac:dyDescent="0.25">
      <c r="A50" s="605"/>
      <c r="B50" s="608"/>
      <c r="C50" s="654"/>
      <c r="D50" s="654"/>
      <c r="E50" s="654"/>
      <c r="F50" s="655"/>
      <c r="G50" s="63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 t="s">
        <v>3119</v>
      </c>
      <c r="S50" s="633"/>
      <c r="T50" s="633"/>
      <c r="U50" s="636"/>
    </row>
    <row r="51" spans="1:21" x14ac:dyDescent="0.25">
      <c r="A51" s="605"/>
      <c r="B51" s="608"/>
      <c r="C51" s="654"/>
      <c r="D51" s="654"/>
      <c r="E51" s="654"/>
      <c r="F51" s="655"/>
      <c r="G51" s="63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 t="s">
        <v>3120</v>
      </c>
      <c r="S51" s="633"/>
      <c r="T51" s="633"/>
      <c r="U51" s="636"/>
    </row>
    <row r="52" spans="1:21" x14ac:dyDescent="0.25">
      <c r="A52" s="605"/>
      <c r="B52" s="608"/>
      <c r="C52" s="654"/>
      <c r="D52" s="654"/>
      <c r="E52" s="654"/>
      <c r="F52" s="655"/>
      <c r="G52" s="63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 t="s">
        <v>3121</v>
      </c>
      <c r="S52" s="633"/>
      <c r="T52" s="633"/>
      <c r="U52" s="636"/>
    </row>
    <row r="53" spans="1:21" x14ac:dyDescent="0.25">
      <c r="A53" s="605"/>
      <c r="B53" s="608"/>
      <c r="C53" s="654"/>
      <c r="D53" s="654"/>
      <c r="E53" s="654"/>
      <c r="F53" s="655"/>
      <c r="G53" s="63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 t="s">
        <v>3122</v>
      </c>
      <c r="S53" s="633"/>
      <c r="T53" s="633"/>
      <c r="U53" s="636"/>
    </row>
    <row r="54" spans="1:21" x14ac:dyDescent="0.25">
      <c r="A54" s="605"/>
      <c r="B54" s="608"/>
      <c r="C54" s="654"/>
      <c r="D54" s="654"/>
      <c r="E54" s="654"/>
      <c r="F54" s="655"/>
      <c r="G54" s="63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 t="s">
        <v>3123</v>
      </c>
      <c r="S54" s="633"/>
      <c r="T54" s="633"/>
      <c r="U54" s="636"/>
    </row>
    <row r="55" spans="1:21" ht="14.4" thickBot="1" x14ac:dyDescent="0.3">
      <c r="A55" s="606"/>
      <c r="B55" s="609"/>
      <c r="C55" s="646"/>
      <c r="D55" s="646"/>
      <c r="E55" s="646"/>
      <c r="F55" s="648"/>
      <c r="G55" s="634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 t="s">
        <v>3124</v>
      </c>
      <c r="S55" s="634"/>
      <c r="T55" s="634"/>
      <c r="U55" s="637"/>
    </row>
    <row r="56" spans="1:21" x14ac:dyDescent="0.25">
      <c r="A56" s="643" t="s">
        <v>3125</v>
      </c>
      <c r="B56" s="607" t="s">
        <v>3126</v>
      </c>
      <c r="C56" s="43">
        <v>0</v>
      </c>
      <c r="D56" s="43">
        <v>1.96</v>
      </c>
      <c r="E56" s="645">
        <v>3.81</v>
      </c>
      <c r="F56" s="647">
        <v>22680</v>
      </c>
      <c r="G56" s="641" t="s">
        <v>32</v>
      </c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4">
        <v>70860090072</v>
      </c>
      <c r="S56" s="641"/>
      <c r="T56" s="641" t="s">
        <v>215</v>
      </c>
      <c r="U56" s="642" t="s">
        <v>67</v>
      </c>
    </row>
    <row r="57" spans="1:21" ht="14.4" thickBot="1" x14ac:dyDescent="0.3">
      <c r="A57" s="644"/>
      <c r="B57" s="609"/>
      <c r="C57" s="46">
        <v>1.96</v>
      </c>
      <c r="D57" s="46">
        <v>3.81</v>
      </c>
      <c r="E57" s="646"/>
      <c r="F57" s="648"/>
      <c r="G57" s="634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>
        <v>70860100138</v>
      </c>
      <c r="S57" s="634"/>
      <c r="T57" s="634"/>
      <c r="U57" s="637"/>
    </row>
    <row r="58" spans="1:21" x14ac:dyDescent="0.25">
      <c r="A58" s="643" t="s">
        <v>3127</v>
      </c>
      <c r="B58" s="607" t="s">
        <v>3128</v>
      </c>
      <c r="C58" s="43">
        <v>0</v>
      </c>
      <c r="D58" s="43">
        <v>1.95</v>
      </c>
      <c r="E58" s="645">
        <v>2.92</v>
      </c>
      <c r="F58" s="647">
        <v>16320</v>
      </c>
      <c r="G58" s="641" t="s">
        <v>32</v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3">
        <v>70860100254</v>
      </c>
      <c r="S58" s="641"/>
      <c r="T58" s="641" t="s">
        <v>215</v>
      </c>
      <c r="U58" s="642" t="s">
        <v>67</v>
      </c>
    </row>
    <row r="59" spans="1:21" x14ac:dyDescent="0.25">
      <c r="A59" s="742"/>
      <c r="B59" s="608"/>
      <c r="C59" s="48">
        <v>1.95</v>
      </c>
      <c r="D59" s="48">
        <v>2.4900000000000002</v>
      </c>
      <c r="E59" s="654"/>
      <c r="F59" s="655"/>
      <c r="G59" s="63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>
        <v>70860060071</v>
      </c>
      <c r="S59" s="633"/>
      <c r="T59" s="633"/>
      <c r="U59" s="636"/>
    </row>
    <row r="60" spans="1:21" x14ac:dyDescent="0.25">
      <c r="A60" s="742"/>
      <c r="B60" s="608"/>
      <c r="C60" s="48">
        <v>2.4900000000000002</v>
      </c>
      <c r="D60" s="48">
        <v>2.64</v>
      </c>
      <c r="E60" s="654"/>
      <c r="F60" s="655"/>
      <c r="G60" s="63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 t="s">
        <v>3129</v>
      </c>
      <c r="S60" s="633"/>
      <c r="T60" s="633"/>
      <c r="U60" s="636"/>
    </row>
    <row r="61" spans="1:21" x14ac:dyDescent="0.25">
      <c r="A61" s="742"/>
      <c r="B61" s="608"/>
      <c r="C61" s="48">
        <v>2.64</v>
      </c>
      <c r="D61" s="48">
        <v>2.79</v>
      </c>
      <c r="E61" s="654"/>
      <c r="F61" s="655"/>
      <c r="G61" s="63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621">
        <v>70860060108</v>
      </c>
      <c r="S61" s="633"/>
      <c r="T61" s="633"/>
      <c r="U61" s="636"/>
    </row>
    <row r="62" spans="1:21" ht="14.4" thickBot="1" x14ac:dyDescent="0.3">
      <c r="A62" s="644"/>
      <c r="B62" s="609"/>
      <c r="C62" s="46">
        <v>2.79</v>
      </c>
      <c r="D62" s="46">
        <v>2.92</v>
      </c>
      <c r="E62" s="646"/>
      <c r="F62" s="47">
        <v>450</v>
      </c>
      <c r="G62" s="20" t="s">
        <v>51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631"/>
      <c r="S62" s="634"/>
      <c r="T62" s="634"/>
      <c r="U62" s="637"/>
    </row>
    <row r="63" spans="1:21" x14ac:dyDescent="0.25">
      <c r="A63" s="643" t="s">
        <v>3130</v>
      </c>
      <c r="B63" s="607" t="s">
        <v>3131</v>
      </c>
      <c r="C63" s="43">
        <v>0</v>
      </c>
      <c r="D63" s="43">
        <v>0.14000000000000001</v>
      </c>
      <c r="E63" s="645">
        <v>0.28000000000000003</v>
      </c>
      <c r="F63" s="647">
        <v>1530</v>
      </c>
      <c r="G63" s="641" t="s">
        <v>32</v>
      </c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>
        <v>70860100281</v>
      </c>
      <c r="S63" s="641"/>
      <c r="T63" s="641" t="s">
        <v>215</v>
      </c>
      <c r="U63" s="642" t="s">
        <v>67</v>
      </c>
    </row>
    <row r="64" spans="1:21" x14ac:dyDescent="0.25">
      <c r="A64" s="742"/>
      <c r="B64" s="608"/>
      <c r="C64" s="48">
        <v>0.14000000000000001</v>
      </c>
      <c r="D64" s="48">
        <v>0.25</v>
      </c>
      <c r="E64" s="654"/>
      <c r="F64" s="655"/>
      <c r="G64" s="63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621" t="s">
        <v>3132</v>
      </c>
      <c r="S64" s="633"/>
      <c r="T64" s="633"/>
      <c r="U64" s="636"/>
    </row>
    <row r="65" spans="1:21" ht="14.4" thickBot="1" x14ac:dyDescent="0.3">
      <c r="A65" s="644"/>
      <c r="B65" s="609"/>
      <c r="C65" s="46">
        <v>0.25</v>
      </c>
      <c r="D65" s="46">
        <v>0.28000000000000003</v>
      </c>
      <c r="E65" s="646"/>
      <c r="F65" s="648"/>
      <c r="G65" s="634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631"/>
      <c r="S65" s="634"/>
      <c r="T65" s="634"/>
      <c r="U65" s="637"/>
    </row>
    <row r="66" spans="1:21" x14ac:dyDescent="0.25">
      <c r="A66" s="604" t="s">
        <v>3133</v>
      </c>
      <c r="B66" s="607" t="s">
        <v>3134</v>
      </c>
      <c r="C66" s="43">
        <v>0</v>
      </c>
      <c r="D66" s="43">
        <v>0.73</v>
      </c>
      <c r="E66" s="645">
        <v>2.68</v>
      </c>
      <c r="F66" s="647">
        <v>4050</v>
      </c>
      <c r="G66" s="641" t="s">
        <v>51</v>
      </c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>
        <v>70860090073</v>
      </c>
      <c r="S66" s="641"/>
      <c r="T66" s="641" t="s">
        <v>215</v>
      </c>
      <c r="U66" s="642" t="s">
        <v>67</v>
      </c>
    </row>
    <row r="67" spans="1:21" x14ac:dyDescent="0.25">
      <c r="A67" s="605"/>
      <c r="B67" s="608"/>
      <c r="C67" s="48">
        <v>0.73</v>
      </c>
      <c r="D67" s="48">
        <v>0.92</v>
      </c>
      <c r="E67" s="654"/>
      <c r="F67" s="655"/>
      <c r="G67" s="63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>
        <v>70860120105</v>
      </c>
      <c r="S67" s="633"/>
      <c r="T67" s="633"/>
      <c r="U67" s="636"/>
    </row>
    <row r="68" spans="1:21" x14ac:dyDescent="0.25">
      <c r="A68" s="605"/>
      <c r="B68" s="608"/>
      <c r="C68" s="48">
        <v>0.92</v>
      </c>
      <c r="D68" s="48">
        <v>1.34</v>
      </c>
      <c r="E68" s="654"/>
      <c r="F68" s="655">
        <v>8400</v>
      </c>
      <c r="G68" s="633" t="s">
        <v>32</v>
      </c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>
        <v>70860120105</v>
      </c>
      <c r="S68" s="633"/>
      <c r="T68" s="633"/>
      <c r="U68" s="636"/>
    </row>
    <row r="69" spans="1:21" x14ac:dyDescent="0.25">
      <c r="A69" s="605"/>
      <c r="B69" s="608"/>
      <c r="C69" s="48">
        <v>1.34</v>
      </c>
      <c r="D69" s="48">
        <v>1.6</v>
      </c>
      <c r="E69" s="654"/>
      <c r="F69" s="655"/>
      <c r="G69" s="63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>
        <v>70660020111</v>
      </c>
      <c r="S69" s="633"/>
      <c r="T69" s="633"/>
      <c r="U69" s="636"/>
    </row>
    <row r="70" spans="1:21" x14ac:dyDescent="0.25">
      <c r="A70" s="605"/>
      <c r="B70" s="608"/>
      <c r="C70" s="48">
        <v>1.6</v>
      </c>
      <c r="D70" s="48">
        <v>2.14</v>
      </c>
      <c r="E70" s="654"/>
      <c r="F70" s="655"/>
      <c r="G70" s="63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>
        <v>70860120054</v>
      </c>
      <c r="S70" s="633"/>
      <c r="T70" s="633"/>
      <c r="U70" s="636"/>
    </row>
    <row r="71" spans="1:21" x14ac:dyDescent="0.25">
      <c r="A71" s="605"/>
      <c r="B71" s="608"/>
      <c r="C71" s="48">
        <v>2.14</v>
      </c>
      <c r="D71" s="48">
        <v>2.58</v>
      </c>
      <c r="E71" s="654"/>
      <c r="F71" s="655"/>
      <c r="G71" s="63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>
        <v>70660030035</v>
      </c>
      <c r="S71" s="633"/>
      <c r="T71" s="633"/>
      <c r="U71" s="636"/>
    </row>
    <row r="72" spans="1:21" ht="14.4" thickBot="1" x14ac:dyDescent="0.3">
      <c r="A72" s="606"/>
      <c r="B72" s="609"/>
      <c r="C72" s="46">
        <v>2.58</v>
      </c>
      <c r="D72" s="46">
        <v>2.68</v>
      </c>
      <c r="E72" s="646"/>
      <c r="F72" s="648"/>
      <c r="G72" s="634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 t="s">
        <v>3135</v>
      </c>
      <c r="S72" s="634"/>
      <c r="T72" s="634"/>
      <c r="U72" s="637"/>
    </row>
    <row r="73" spans="1:21" ht="24.6" thickBot="1" x14ac:dyDescent="0.3">
      <c r="A73" s="22" t="s">
        <v>3136</v>
      </c>
      <c r="B73" s="23" t="s">
        <v>927</v>
      </c>
      <c r="C73" s="41">
        <v>0</v>
      </c>
      <c r="D73" s="41">
        <v>0.12</v>
      </c>
      <c r="E73" s="41">
        <v>0.12</v>
      </c>
      <c r="F73" s="4">
        <v>600</v>
      </c>
      <c r="G73" s="3" t="s">
        <v>32</v>
      </c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>
        <v>70860100256</v>
      </c>
      <c r="S73" s="27" t="s">
        <v>3086</v>
      </c>
      <c r="T73" s="3" t="s">
        <v>215</v>
      </c>
      <c r="U73" s="110"/>
    </row>
    <row r="74" spans="1:21" ht="24.6" thickBot="1" x14ac:dyDescent="0.3">
      <c r="A74" s="22" t="s">
        <v>3137</v>
      </c>
      <c r="B74" s="23" t="s">
        <v>1126</v>
      </c>
      <c r="C74" s="41">
        <v>0</v>
      </c>
      <c r="D74" s="41">
        <v>0.16700000000000001</v>
      </c>
      <c r="E74" s="41">
        <v>0.16700000000000001</v>
      </c>
      <c r="F74" s="4">
        <v>668</v>
      </c>
      <c r="G74" s="3" t="s">
        <v>32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>
        <v>70860100257</v>
      </c>
      <c r="S74" s="27" t="s">
        <v>3086</v>
      </c>
      <c r="T74" s="3" t="s">
        <v>215</v>
      </c>
      <c r="U74" s="5"/>
    </row>
    <row r="75" spans="1:21" x14ac:dyDescent="0.25">
      <c r="A75" s="604" t="s">
        <v>3138</v>
      </c>
      <c r="B75" s="607" t="s">
        <v>3139</v>
      </c>
      <c r="C75" s="43">
        <v>0</v>
      </c>
      <c r="D75" s="43">
        <v>0.04</v>
      </c>
      <c r="E75" s="645">
        <v>0.11</v>
      </c>
      <c r="F75" s="647">
        <v>550</v>
      </c>
      <c r="G75" s="641" t="s">
        <v>51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>
        <v>70860100193</v>
      </c>
      <c r="S75" s="640" t="s">
        <v>3086</v>
      </c>
      <c r="T75" s="641" t="s">
        <v>215</v>
      </c>
      <c r="U75" s="744"/>
    </row>
    <row r="76" spans="1:21" ht="14.4" thickBot="1" x14ac:dyDescent="0.3">
      <c r="A76" s="606"/>
      <c r="B76" s="609"/>
      <c r="C76" s="46">
        <v>0.04</v>
      </c>
      <c r="D76" s="46">
        <v>0.11</v>
      </c>
      <c r="E76" s="646"/>
      <c r="F76" s="648"/>
      <c r="G76" s="634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 t="s">
        <v>3140</v>
      </c>
      <c r="S76" s="631"/>
      <c r="T76" s="634"/>
      <c r="U76" s="745"/>
    </row>
    <row r="77" spans="1:21" ht="24.6" thickBot="1" x14ac:dyDescent="0.3">
      <c r="A77" s="22" t="s">
        <v>3141</v>
      </c>
      <c r="B77" s="23" t="s">
        <v>3142</v>
      </c>
      <c r="C77" s="41">
        <v>0</v>
      </c>
      <c r="D77" s="41">
        <v>3.1</v>
      </c>
      <c r="E77" s="41">
        <v>3.1</v>
      </c>
      <c r="F77" s="4">
        <v>18564</v>
      </c>
      <c r="G77" s="3" t="s">
        <v>32</v>
      </c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>
        <v>70860110052</v>
      </c>
      <c r="S77" s="3"/>
      <c r="T77" s="3" t="s">
        <v>215</v>
      </c>
      <c r="U77" s="5"/>
    </row>
    <row r="78" spans="1:21" x14ac:dyDescent="0.25">
      <c r="A78" s="604" t="s">
        <v>3143</v>
      </c>
      <c r="B78" s="607" t="s">
        <v>3144</v>
      </c>
      <c r="C78" s="43">
        <v>0</v>
      </c>
      <c r="D78" s="43">
        <v>3.65</v>
      </c>
      <c r="E78" s="645">
        <v>7.5</v>
      </c>
      <c r="F78" s="647">
        <v>45240</v>
      </c>
      <c r="G78" s="641" t="s">
        <v>32</v>
      </c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>
        <v>70860110053</v>
      </c>
      <c r="S78" s="641"/>
      <c r="T78" s="641" t="s">
        <v>215</v>
      </c>
      <c r="U78" s="642"/>
    </row>
    <row r="79" spans="1:21" x14ac:dyDescent="0.25">
      <c r="A79" s="605"/>
      <c r="B79" s="608"/>
      <c r="C79" s="48">
        <v>3.65</v>
      </c>
      <c r="D79" s="48">
        <v>5.14</v>
      </c>
      <c r="E79" s="654"/>
      <c r="F79" s="655"/>
      <c r="G79" s="63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>
        <v>70860110081</v>
      </c>
      <c r="S79" s="633"/>
      <c r="T79" s="633"/>
      <c r="U79" s="636"/>
    </row>
    <row r="80" spans="1:21" ht="14.4" thickBot="1" x14ac:dyDescent="0.3">
      <c r="A80" s="606"/>
      <c r="B80" s="609"/>
      <c r="C80" s="46">
        <v>5.14</v>
      </c>
      <c r="D80" s="46">
        <v>7.5</v>
      </c>
      <c r="E80" s="646"/>
      <c r="F80" s="648"/>
      <c r="G80" s="634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>
        <v>70860140148</v>
      </c>
      <c r="S80" s="634"/>
      <c r="T80" s="634"/>
      <c r="U80" s="637"/>
    </row>
    <row r="81" spans="1:21" ht="24.6" thickBot="1" x14ac:dyDescent="0.3">
      <c r="A81" s="22" t="s">
        <v>3145</v>
      </c>
      <c r="B81" s="23" t="s">
        <v>3146</v>
      </c>
      <c r="C81" s="41">
        <v>0</v>
      </c>
      <c r="D81" s="41">
        <v>2.58</v>
      </c>
      <c r="E81" s="41">
        <v>2.58</v>
      </c>
      <c r="F81" s="4">
        <v>12850</v>
      </c>
      <c r="G81" s="3" t="s">
        <v>32</v>
      </c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>
        <v>70860140147</v>
      </c>
      <c r="S81" s="3"/>
      <c r="T81" s="3" t="s">
        <v>215</v>
      </c>
      <c r="U81" s="5" t="s">
        <v>67</v>
      </c>
    </row>
    <row r="82" spans="1:21" x14ac:dyDescent="0.25">
      <c r="A82" s="604" t="s">
        <v>3147</v>
      </c>
      <c r="B82" s="607" t="s">
        <v>3148</v>
      </c>
      <c r="C82" s="43">
        <v>0</v>
      </c>
      <c r="D82" s="43">
        <v>2.35</v>
      </c>
      <c r="E82" s="645">
        <v>2.39</v>
      </c>
      <c r="F82" s="647">
        <v>11950</v>
      </c>
      <c r="G82" s="641" t="s">
        <v>32</v>
      </c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>
        <v>70860180032</v>
      </c>
      <c r="S82" s="641"/>
      <c r="T82" s="641" t="s">
        <v>215</v>
      </c>
      <c r="U82" s="642" t="s">
        <v>67</v>
      </c>
    </row>
    <row r="83" spans="1:21" ht="14.4" thickBot="1" x14ac:dyDescent="0.3">
      <c r="A83" s="606"/>
      <c r="B83" s="609"/>
      <c r="C83" s="46">
        <v>2.35</v>
      </c>
      <c r="D83" s="46">
        <v>2.39</v>
      </c>
      <c r="E83" s="646"/>
      <c r="F83" s="648"/>
      <c r="G83" s="634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 t="s">
        <v>3149</v>
      </c>
      <c r="S83" s="634"/>
      <c r="T83" s="634"/>
      <c r="U83" s="637"/>
    </row>
    <row r="84" spans="1:21" x14ac:dyDescent="0.25">
      <c r="A84" s="604" t="s">
        <v>3150</v>
      </c>
      <c r="B84" s="607" t="s">
        <v>3151</v>
      </c>
      <c r="C84" s="43">
        <v>0</v>
      </c>
      <c r="D84" s="43">
        <v>2.42</v>
      </c>
      <c r="E84" s="645">
        <v>4.1500000000000004</v>
      </c>
      <c r="F84" s="647">
        <v>20700</v>
      </c>
      <c r="G84" s="641" t="s">
        <v>32</v>
      </c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>
        <v>70860150052</v>
      </c>
      <c r="S84" s="641"/>
      <c r="T84" s="641" t="s">
        <v>215</v>
      </c>
      <c r="U84" s="642"/>
    </row>
    <row r="85" spans="1:21" x14ac:dyDescent="0.25">
      <c r="A85" s="605"/>
      <c r="B85" s="608"/>
      <c r="C85" s="654">
        <v>2.42</v>
      </c>
      <c r="D85" s="654">
        <v>3.41</v>
      </c>
      <c r="E85" s="654"/>
      <c r="F85" s="655"/>
      <c r="G85" s="63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 t="s">
        <v>3152</v>
      </c>
      <c r="S85" s="633"/>
      <c r="T85" s="633"/>
      <c r="U85" s="636"/>
    </row>
    <row r="86" spans="1:21" x14ac:dyDescent="0.25">
      <c r="A86" s="605"/>
      <c r="B86" s="608"/>
      <c r="C86" s="654"/>
      <c r="D86" s="654"/>
      <c r="E86" s="654"/>
      <c r="F86" s="655"/>
      <c r="G86" s="63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 t="s">
        <v>3153</v>
      </c>
      <c r="S86" s="633"/>
      <c r="T86" s="633"/>
      <c r="U86" s="636"/>
    </row>
    <row r="87" spans="1:21" x14ac:dyDescent="0.25">
      <c r="A87" s="605"/>
      <c r="B87" s="608"/>
      <c r="C87" s="48">
        <v>3.41</v>
      </c>
      <c r="D87" s="48">
        <v>3.73</v>
      </c>
      <c r="E87" s="654"/>
      <c r="F87" s="655"/>
      <c r="G87" s="63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 t="s">
        <v>3154</v>
      </c>
      <c r="S87" s="633"/>
      <c r="T87" s="633"/>
      <c r="U87" s="636"/>
    </row>
    <row r="88" spans="1:21" x14ac:dyDescent="0.25">
      <c r="A88" s="605"/>
      <c r="B88" s="608"/>
      <c r="C88" s="654">
        <v>3.73</v>
      </c>
      <c r="D88" s="654">
        <v>4.1500000000000004</v>
      </c>
      <c r="E88" s="654"/>
      <c r="F88" s="655"/>
      <c r="G88" s="63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 t="s">
        <v>3155</v>
      </c>
      <c r="S88" s="633"/>
      <c r="T88" s="633"/>
      <c r="U88" s="636"/>
    </row>
    <row r="89" spans="1:21" ht="14.4" thickBot="1" x14ac:dyDescent="0.3">
      <c r="A89" s="606"/>
      <c r="B89" s="609"/>
      <c r="C89" s="646"/>
      <c r="D89" s="646"/>
      <c r="E89" s="646"/>
      <c r="F89" s="648"/>
      <c r="G89" s="634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 t="s">
        <v>3156</v>
      </c>
      <c r="S89" s="634"/>
      <c r="T89" s="634"/>
      <c r="U89" s="637"/>
    </row>
    <row r="90" spans="1:21" x14ac:dyDescent="0.25">
      <c r="A90" s="604" t="s">
        <v>3157</v>
      </c>
      <c r="B90" s="607" t="s">
        <v>3158</v>
      </c>
      <c r="C90" s="43">
        <v>0</v>
      </c>
      <c r="D90" s="43">
        <v>2.63</v>
      </c>
      <c r="E90" s="645">
        <v>6.41</v>
      </c>
      <c r="F90" s="647">
        <v>44975</v>
      </c>
      <c r="G90" s="641" t="s">
        <v>32</v>
      </c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>
        <v>70860110056</v>
      </c>
      <c r="S90" s="641"/>
      <c r="T90" s="641" t="s">
        <v>215</v>
      </c>
      <c r="U90" s="744"/>
    </row>
    <row r="91" spans="1:21" ht="14.4" thickBot="1" x14ac:dyDescent="0.3">
      <c r="A91" s="606"/>
      <c r="B91" s="609"/>
      <c r="C91" s="46">
        <v>2.63</v>
      </c>
      <c r="D91" s="46">
        <v>6.41</v>
      </c>
      <c r="E91" s="646"/>
      <c r="F91" s="648"/>
      <c r="G91" s="634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>
        <v>70860150051</v>
      </c>
      <c r="S91" s="634"/>
      <c r="T91" s="634"/>
      <c r="U91" s="745"/>
    </row>
    <row r="92" spans="1:21" x14ac:dyDescent="0.25">
      <c r="A92" s="604" t="s">
        <v>3159</v>
      </c>
      <c r="B92" s="607" t="s">
        <v>3160</v>
      </c>
      <c r="C92" s="43">
        <v>0</v>
      </c>
      <c r="D92" s="43">
        <v>0.5</v>
      </c>
      <c r="E92" s="645">
        <v>0.65</v>
      </c>
      <c r="F92" s="647">
        <v>3150</v>
      </c>
      <c r="G92" s="641" t="s">
        <v>32</v>
      </c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>
        <v>70860050119</v>
      </c>
      <c r="S92" s="641"/>
      <c r="T92" s="641" t="s">
        <v>215</v>
      </c>
      <c r="U92" s="642"/>
    </row>
    <row r="93" spans="1:21" x14ac:dyDescent="0.25">
      <c r="A93" s="605"/>
      <c r="B93" s="608"/>
      <c r="C93" s="654">
        <v>0.5</v>
      </c>
      <c r="D93" s="654">
        <v>0.65</v>
      </c>
      <c r="E93" s="654"/>
      <c r="F93" s="655"/>
      <c r="G93" s="63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 t="s">
        <v>3161</v>
      </c>
      <c r="S93" s="633"/>
      <c r="T93" s="633"/>
      <c r="U93" s="636"/>
    </row>
    <row r="94" spans="1:21" ht="14.4" thickBot="1" x14ac:dyDescent="0.3">
      <c r="A94" s="606"/>
      <c r="B94" s="609"/>
      <c r="C94" s="646"/>
      <c r="D94" s="646"/>
      <c r="E94" s="646"/>
      <c r="F94" s="648"/>
      <c r="G94" s="634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 t="s">
        <v>3162</v>
      </c>
      <c r="S94" s="634"/>
      <c r="T94" s="634"/>
      <c r="U94" s="637"/>
    </row>
    <row r="95" spans="1:21" ht="24.6" thickBot="1" x14ac:dyDescent="0.3">
      <c r="A95" s="22" t="s">
        <v>3163</v>
      </c>
      <c r="B95" s="23" t="s">
        <v>3164</v>
      </c>
      <c r="C95" s="41">
        <v>0</v>
      </c>
      <c r="D95" s="41">
        <v>1.36</v>
      </c>
      <c r="E95" s="41">
        <v>1.36</v>
      </c>
      <c r="F95" s="4">
        <v>7200</v>
      </c>
      <c r="G95" s="3" t="s">
        <v>32</v>
      </c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>
        <v>70860120055</v>
      </c>
      <c r="S95" s="3"/>
      <c r="T95" s="3" t="s">
        <v>215</v>
      </c>
      <c r="U95" s="5"/>
    </row>
    <row r="96" spans="1:21" x14ac:dyDescent="0.25">
      <c r="A96" s="604" t="s">
        <v>3165</v>
      </c>
      <c r="B96" s="607" t="s">
        <v>3166</v>
      </c>
      <c r="C96" s="43">
        <v>0</v>
      </c>
      <c r="D96" s="43">
        <v>1.56</v>
      </c>
      <c r="E96" s="645">
        <v>5</v>
      </c>
      <c r="F96" s="647">
        <v>29100</v>
      </c>
      <c r="G96" s="641" t="s">
        <v>32</v>
      </c>
      <c r="H96" s="641" t="s">
        <v>3167</v>
      </c>
      <c r="I96" s="640">
        <v>1.5</v>
      </c>
      <c r="J96" s="641" t="s">
        <v>3168</v>
      </c>
      <c r="K96" s="640">
        <v>14</v>
      </c>
      <c r="L96" s="640">
        <v>105.9</v>
      </c>
      <c r="M96" s="34"/>
      <c r="N96" s="34"/>
      <c r="O96" s="640" t="s">
        <v>155</v>
      </c>
      <c r="P96" s="34"/>
      <c r="Q96" s="34"/>
      <c r="R96" s="34">
        <v>70860030049</v>
      </c>
      <c r="S96" s="641"/>
      <c r="T96" s="641" t="s">
        <v>215</v>
      </c>
      <c r="U96" s="642"/>
    </row>
    <row r="97" spans="1:21" x14ac:dyDescent="0.25">
      <c r="A97" s="605"/>
      <c r="B97" s="608"/>
      <c r="C97" s="48">
        <v>1.56</v>
      </c>
      <c r="D97" s="48">
        <v>2.02</v>
      </c>
      <c r="E97" s="654"/>
      <c r="F97" s="655"/>
      <c r="G97" s="633"/>
      <c r="H97" s="633"/>
      <c r="I97" s="621"/>
      <c r="J97" s="633"/>
      <c r="K97" s="621"/>
      <c r="L97" s="621"/>
      <c r="M97" s="13"/>
      <c r="N97" s="13"/>
      <c r="O97" s="621"/>
      <c r="P97" s="13"/>
      <c r="Q97" s="13"/>
      <c r="R97" s="13">
        <v>70900090146</v>
      </c>
      <c r="S97" s="633"/>
      <c r="T97" s="633"/>
      <c r="U97" s="636"/>
    </row>
    <row r="98" spans="1:21" ht="24.6" thickBot="1" x14ac:dyDescent="0.3">
      <c r="A98" s="606"/>
      <c r="B98" s="609"/>
      <c r="C98" s="46">
        <v>2.02</v>
      </c>
      <c r="D98" s="46">
        <v>5</v>
      </c>
      <c r="E98" s="646"/>
      <c r="F98" s="648"/>
      <c r="G98" s="634"/>
      <c r="H98" s="20" t="s">
        <v>3169</v>
      </c>
      <c r="I98" s="19">
        <v>4.5</v>
      </c>
      <c r="J98" s="20" t="s">
        <v>3170</v>
      </c>
      <c r="K98" s="19">
        <v>30</v>
      </c>
      <c r="L98" s="19">
        <v>262.60000000000002</v>
      </c>
      <c r="M98" s="19"/>
      <c r="N98" s="19"/>
      <c r="O98" s="19" t="s">
        <v>155</v>
      </c>
      <c r="P98" s="19"/>
      <c r="Q98" s="19"/>
      <c r="R98" s="19">
        <v>70860010037</v>
      </c>
      <c r="S98" s="634"/>
      <c r="T98" s="634"/>
      <c r="U98" s="637"/>
    </row>
    <row r="99" spans="1:21" x14ac:dyDescent="0.25">
      <c r="A99" s="604" t="s">
        <v>3171</v>
      </c>
      <c r="B99" s="607" t="s">
        <v>3172</v>
      </c>
      <c r="C99" s="43">
        <v>0</v>
      </c>
      <c r="D99" s="43">
        <v>0.2</v>
      </c>
      <c r="E99" s="645">
        <v>2.0699999999999998</v>
      </c>
      <c r="F99" s="647">
        <v>13200</v>
      </c>
      <c r="G99" s="641" t="s">
        <v>32</v>
      </c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>
        <v>70860050118</v>
      </c>
      <c r="S99" s="641"/>
      <c r="T99" s="641" t="s">
        <v>215</v>
      </c>
      <c r="U99" s="744"/>
    </row>
    <row r="100" spans="1:21" x14ac:dyDescent="0.25">
      <c r="A100" s="605"/>
      <c r="B100" s="608"/>
      <c r="C100" s="48">
        <v>0.2</v>
      </c>
      <c r="D100" s="48">
        <v>0.32</v>
      </c>
      <c r="E100" s="654"/>
      <c r="F100" s="655"/>
      <c r="G100" s="63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 t="s">
        <v>3173</v>
      </c>
      <c r="S100" s="633"/>
      <c r="T100" s="633"/>
      <c r="U100" s="750"/>
    </row>
    <row r="101" spans="1:21" x14ac:dyDescent="0.25">
      <c r="A101" s="605"/>
      <c r="B101" s="608"/>
      <c r="C101" s="48">
        <v>0.32</v>
      </c>
      <c r="D101" s="48">
        <v>1.45</v>
      </c>
      <c r="E101" s="654"/>
      <c r="F101" s="655"/>
      <c r="G101" s="63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>
        <v>70860050160</v>
      </c>
      <c r="S101" s="633"/>
      <c r="T101" s="633"/>
      <c r="U101" s="750"/>
    </row>
    <row r="102" spans="1:21" x14ac:dyDescent="0.25">
      <c r="A102" s="605"/>
      <c r="B102" s="608"/>
      <c r="C102" s="654">
        <v>1.45</v>
      </c>
      <c r="D102" s="654">
        <v>2.0699999999999998</v>
      </c>
      <c r="E102" s="654"/>
      <c r="F102" s="655"/>
      <c r="G102" s="63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 t="s">
        <v>3174</v>
      </c>
      <c r="S102" s="633"/>
      <c r="T102" s="633"/>
      <c r="U102" s="750"/>
    </row>
    <row r="103" spans="1:21" ht="14.4" thickBot="1" x14ac:dyDescent="0.3">
      <c r="A103" s="606"/>
      <c r="B103" s="609"/>
      <c r="C103" s="646"/>
      <c r="D103" s="646"/>
      <c r="E103" s="646"/>
      <c r="F103" s="648"/>
      <c r="G103" s="634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 t="s">
        <v>3175</v>
      </c>
      <c r="S103" s="634"/>
      <c r="T103" s="634"/>
      <c r="U103" s="745"/>
    </row>
    <row r="104" spans="1:21" x14ac:dyDescent="0.25">
      <c r="A104" s="688" t="s">
        <v>3176</v>
      </c>
      <c r="B104" s="607" t="s">
        <v>3177</v>
      </c>
      <c r="C104" s="43">
        <v>0</v>
      </c>
      <c r="D104" s="43">
        <v>0.41499999999999998</v>
      </c>
      <c r="E104" s="645">
        <v>9.2100000000000009</v>
      </c>
      <c r="F104" s="647">
        <f>E104*4500</f>
        <v>41445.000000000007</v>
      </c>
      <c r="G104" s="641" t="s">
        <v>32</v>
      </c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 t="s">
        <v>3178</v>
      </c>
      <c r="S104" s="641"/>
      <c r="T104" s="641" t="s">
        <v>215</v>
      </c>
      <c r="U104" s="744"/>
    </row>
    <row r="105" spans="1:21" x14ac:dyDescent="0.25">
      <c r="A105" s="690"/>
      <c r="B105" s="608"/>
      <c r="C105" s="48">
        <v>0.42</v>
      </c>
      <c r="D105" s="48">
        <f>C105+0.58</f>
        <v>1</v>
      </c>
      <c r="E105" s="654"/>
      <c r="F105" s="655"/>
      <c r="G105" s="63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>
        <v>70860050089</v>
      </c>
      <c r="S105" s="633"/>
      <c r="T105" s="633"/>
      <c r="U105" s="750"/>
    </row>
    <row r="106" spans="1:21" x14ac:dyDescent="0.25">
      <c r="A106" s="690"/>
      <c r="B106" s="608"/>
      <c r="C106" s="48">
        <v>1</v>
      </c>
      <c r="D106" s="48">
        <f>C106+0.11</f>
        <v>1.1100000000000001</v>
      </c>
      <c r="E106" s="654"/>
      <c r="F106" s="655"/>
      <c r="G106" s="63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>
        <v>70860020017</v>
      </c>
      <c r="S106" s="633"/>
      <c r="T106" s="633"/>
      <c r="U106" s="750"/>
    </row>
    <row r="107" spans="1:21" x14ac:dyDescent="0.25">
      <c r="A107" s="690"/>
      <c r="B107" s="608"/>
      <c r="C107" s="48">
        <v>1.1100000000000001</v>
      </c>
      <c r="D107" s="48">
        <f>C107+0.28</f>
        <v>1.3900000000000001</v>
      </c>
      <c r="E107" s="654"/>
      <c r="F107" s="655"/>
      <c r="G107" s="63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>
        <v>70860020004</v>
      </c>
      <c r="S107" s="633"/>
      <c r="T107" s="633"/>
      <c r="U107" s="750"/>
    </row>
    <row r="108" spans="1:21" x14ac:dyDescent="0.25">
      <c r="A108" s="690"/>
      <c r="B108" s="608"/>
      <c r="C108" s="48">
        <v>1.39</v>
      </c>
      <c r="D108" s="48">
        <f>C108+1.42</f>
        <v>2.8099999999999996</v>
      </c>
      <c r="E108" s="654"/>
      <c r="F108" s="655"/>
      <c r="G108" s="63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>
        <v>70860020039</v>
      </c>
      <c r="S108" s="633"/>
      <c r="T108" s="633"/>
      <c r="U108" s="750"/>
    </row>
    <row r="109" spans="1:21" x14ac:dyDescent="0.25">
      <c r="A109" s="690"/>
      <c r="B109" s="608"/>
      <c r="C109" s="48">
        <v>2.81</v>
      </c>
      <c r="D109" s="48">
        <f>C109+3.75</f>
        <v>6.5600000000000005</v>
      </c>
      <c r="E109" s="654"/>
      <c r="F109" s="655"/>
      <c r="G109" s="63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>
        <v>70860030048</v>
      </c>
      <c r="S109" s="633"/>
      <c r="T109" s="633"/>
      <c r="U109" s="750"/>
    </row>
    <row r="110" spans="1:21" x14ac:dyDescent="0.25">
      <c r="A110" s="690"/>
      <c r="B110" s="608"/>
      <c r="C110" s="48">
        <v>6.56</v>
      </c>
      <c r="D110" s="48">
        <f>C110+0.03</f>
        <v>6.59</v>
      </c>
      <c r="E110" s="654"/>
      <c r="F110" s="655"/>
      <c r="G110" s="63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>
        <v>70860070040</v>
      </c>
      <c r="S110" s="633"/>
      <c r="T110" s="633"/>
      <c r="U110" s="750"/>
    </row>
    <row r="111" spans="1:21" ht="14.4" thickBot="1" x14ac:dyDescent="0.3">
      <c r="A111" s="689"/>
      <c r="B111" s="609"/>
      <c r="C111" s="46">
        <v>6.59</v>
      </c>
      <c r="D111" s="46">
        <f>C111+2.62</f>
        <v>9.2100000000000009</v>
      </c>
      <c r="E111" s="646"/>
      <c r="F111" s="648"/>
      <c r="G111" s="634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>
        <v>70860070063</v>
      </c>
      <c r="S111" s="634"/>
      <c r="T111" s="634"/>
      <c r="U111" s="745"/>
    </row>
    <row r="112" spans="1:21" ht="24.6" thickBot="1" x14ac:dyDescent="0.3">
      <c r="A112" s="22" t="s">
        <v>3179</v>
      </c>
      <c r="B112" s="23" t="s">
        <v>3180</v>
      </c>
      <c r="C112" s="41">
        <v>0</v>
      </c>
      <c r="D112" s="41">
        <v>1.97</v>
      </c>
      <c r="E112" s="41">
        <v>1.97</v>
      </c>
      <c r="F112" s="4">
        <v>8100</v>
      </c>
      <c r="G112" s="3" t="s">
        <v>32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>
        <v>70860130049</v>
      </c>
      <c r="S112" s="3"/>
      <c r="T112" s="3" t="s">
        <v>215</v>
      </c>
      <c r="U112" s="5" t="s">
        <v>67</v>
      </c>
    </row>
    <row r="113" spans="1:21" x14ac:dyDescent="0.25">
      <c r="A113" s="617" t="s">
        <v>3181</v>
      </c>
      <c r="B113" s="618" t="s">
        <v>3182</v>
      </c>
      <c r="C113" s="79">
        <v>0</v>
      </c>
      <c r="D113" s="79">
        <v>2.17</v>
      </c>
      <c r="E113" s="998">
        <v>2.33</v>
      </c>
      <c r="F113" s="999">
        <v>11500</v>
      </c>
      <c r="G113" s="632" t="s">
        <v>32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>
        <v>70860140146</v>
      </c>
      <c r="S113" s="632"/>
      <c r="T113" s="632" t="s">
        <v>215</v>
      </c>
      <c r="U113" s="749"/>
    </row>
    <row r="114" spans="1:21" ht="14.4" thickBot="1" x14ac:dyDescent="0.3">
      <c r="A114" s="606"/>
      <c r="B114" s="609"/>
      <c r="C114" s="46">
        <v>2.17</v>
      </c>
      <c r="D114" s="46">
        <v>2.33</v>
      </c>
      <c r="E114" s="646"/>
      <c r="F114" s="648"/>
      <c r="G114" s="634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 t="s">
        <v>3183</v>
      </c>
      <c r="S114" s="634"/>
      <c r="T114" s="634"/>
      <c r="U114" s="745"/>
    </row>
    <row r="115" spans="1:21" ht="24.6" thickBot="1" x14ac:dyDescent="0.3">
      <c r="A115" s="55" t="s">
        <v>3184</v>
      </c>
      <c r="B115" s="45" t="s">
        <v>3185</v>
      </c>
      <c r="C115" s="68">
        <v>0</v>
      </c>
      <c r="D115" s="68">
        <v>3.72</v>
      </c>
      <c r="E115" s="68">
        <v>3.72</v>
      </c>
      <c r="F115" s="82">
        <v>18250</v>
      </c>
      <c r="G115" s="57" t="s">
        <v>32</v>
      </c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>
        <v>70860180075</v>
      </c>
      <c r="S115" s="57"/>
      <c r="T115" s="57" t="s">
        <v>215</v>
      </c>
      <c r="U115" s="342"/>
    </row>
    <row r="116" spans="1:21" x14ac:dyDescent="0.25">
      <c r="A116" s="617" t="s">
        <v>3186</v>
      </c>
      <c r="B116" s="618" t="s">
        <v>3187</v>
      </c>
      <c r="C116" s="79">
        <v>0</v>
      </c>
      <c r="D116" s="79">
        <v>0.23</v>
      </c>
      <c r="E116" s="998">
        <v>1.72</v>
      </c>
      <c r="F116" s="999">
        <v>8500</v>
      </c>
      <c r="G116" s="632" t="s">
        <v>32</v>
      </c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 t="s">
        <v>3188</v>
      </c>
      <c r="S116" s="632"/>
      <c r="T116" s="632" t="s">
        <v>215</v>
      </c>
      <c r="U116" s="635" t="s">
        <v>67</v>
      </c>
    </row>
    <row r="117" spans="1:21" x14ac:dyDescent="0.25">
      <c r="A117" s="605"/>
      <c r="B117" s="608"/>
      <c r="C117" s="48">
        <v>0.23</v>
      </c>
      <c r="D117" s="48">
        <v>0.97699999999999998</v>
      </c>
      <c r="E117" s="654"/>
      <c r="F117" s="655"/>
      <c r="G117" s="63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>
        <v>70860160184</v>
      </c>
      <c r="S117" s="633"/>
      <c r="T117" s="633"/>
      <c r="U117" s="636"/>
    </row>
    <row r="118" spans="1:21" x14ac:dyDescent="0.25">
      <c r="A118" s="605"/>
      <c r="B118" s="608"/>
      <c r="C118" s="48">
        <v>0.97699999999999998</v>
      </c>
      <c r="D118" s="48">
        <v>1.5369999999999999</v>
      </c>
      <c r="E118" s="654"/>
      <c r="F118" s="655"/>
      <c r="G118" s="63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 t="s">
        <v>3189</v>
      </c>
      <c r="S118" s="633"/>
      <c r="T118" s="633"/>
      <c r="U118" s="636"/>
    </row>
    <row r="119" spans="1:21" ht="14.4" thickBot="1" x14ac:dyDescent="0.3">
      <c r="A119" s="606"/>
      <c r="B119" s="609"/>
      <c r="C119" s="46">
        <v>1.5369999999999999</v>
      </c>
      <c r="D119" s="46">
        <v>1.72</v>
      </c>
      <c r="E119" s="646"/>
      <c r="F119" s="648"/>
      <c r="G119" s="634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20">
        <v>70860160173</v>
      </c>
      <c r="S119" s="634"/>
      <c r="T119" s="634"/>
      <c r="U119" s="637"/>
    </row>
    <row r="120" spans="1:21" x14ac:dyDescent="0.25">
      <c r="A120" s="617" t="s">
        <v>3190</v>
      </c>
      <c r="B120" s="618" t="s">
        <v>3191</v>
      </c>
      <c r="C120" s="998">
        <v>0</v>
      </c>
      <c r="D120" s="998">
        <v>0.22</v>
      </c>
      <c r="E120" s="998">
        <v>1.44</v>
      </c>
      <c r="F120" s="999">
        <v>7500</v>
      </c>
      <c r="G120" s="632" t="s">
        <v>32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 t="s">
        <v>3192</v>
      </c>
      <c r="S120" s="632"/>
      <c r="T120" s="632" t="s">
        <v>215</v>
      </c>
      <c r="U120" s="635" t="s">
        <v>67</v>
      </c>
    </row>
    <row r="121" spans="1:21" x14ac:dyDescent="0.25">
      <c r="A121" s="605"/>
      <c r="B121" s="608"/>
      <c r="C121" s="654"/>
      <c r="D121" s="654"/>
      <c r="E121" s="654"/>
      <c r="F121" s="655"/>
      <c r="G121" s="63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 t="s">
        <v>3193</v>
      </c>
      <c r="S121" s="633"/>
      <c r="T121" s="633"/>
      <c r="U121" s="636"/>
    </row>
    <row r="122" spans="1:21" x14ac:dyDescent="0.25">
      <c r="A122" s="605"/>
      <c r="B122" s="608"/>
      <c r="C122" s="654"/>
      <c r="D122" s="654"/>
      <c r="E122" s="654"/>
      <c r="F122" s="655"/>
      <c r="G122" s="63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 t="s">
        <v>3194</v>
      </c>
      <c r="S122" s="633"/>
      <c r="T122" s="633"/>
      <c r="U122" s="636"/>
    </row>
    <row r="123" spans="1:21" x14ac:dyDescent="0.25">
      <c r="A123" s="605"/>
      <c r="B123" s="608"/>
      <c r="C123" s="48">
        <v>0.22</v>
      </c>
      <c r="D123" s="48">
        <v>0.83</v>
      </c>
      <c r="E123" s="654"/>
      <c r="F123" s="655"/>
      <c r="G123" s="63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>
        <v>70860060070</v>
      </c>
      <c r="S123" s="633"/>
      <c r="T123" s="633"/>
      <c r="U123" s="636"/>
    </row>
    <row r="124" spans="1:21" x14ac:dyDescent="0.25">
      <c r="A124" s="605"/>
      <c r="B124" s="608"/>
      <c r="C124" s="654">
        <v>0.83</v>
      </c>
      <c r="D124" s="654">
        <v>1.1000000000000001</v>
      </c>
      <c r="E124" s="654"/>
      <c r="F124" s="655"/>
      <c r="G124" s="63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 t="s">
        <v>3195</v>
      </c>
      <c r="S124" s="633"/>
      <c r="T124" s="633"/>
      <c r="U124" s="636"/>
    </row>
    <row r="125" spans="1:21" x14ac:dyDescent="0.25">
      <c r="A125" s="605"/>
      <c r="B125" s="608"/>
      <c r="C125" s="654"/>
      <c r="D125" s="654"/>
      <c r="E125" s="654"/>
      <c r="F125" s="655"/>
      <c r="G125" s="63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 t="s">
        <v>3196</v>
      </c>
      <c r="S125" s="633"/>
      <c r="T125" s="633"/>
      <c r="U125" s="636"/>
    </row>
    <row r="126" spans="1:21" x14ac:dyDescent="0.25">
      <c r="A126" s="605"/>
      <c r="B126" s="608"/>
      <c r="C126" s="654"/>
      <c r="D126" s="654"/>
      <c r="E126" s="654"/>
      <c r="F126" s="655"/>
      <c r="G126" s="63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 t="s">
        <v>3197</v>
      </c>
      <c r="S126" s="633"/>
      <c r="T126" s="633"/>
      <c r="U126" s="636"/>
    </row>
    <row r="127" spans="1:21" x14ac:dyDescent="0.25">
      <c r="A127" s="605"/>
      <c r="B127" s="608"/>
      <c r="C127" s="654"/>
      <c r="D127" s="654"/>
      <c r="E127" s="654"/>
      <c r="F127" s="655"/>
      <c r="G127" s="63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 t="s">
        <v>3198</v>
      </c>
      <c r="S127" s="633"/>
      <c r="T127" s="633"/>
      <c r="U127" s="636"/>
    </row>
    <row r="128" spans="1:21" x14ac:dyDescent="0.25">
      <c r="A128" s="605"/>
      <c r="B128" s="608"/>
      <c r="C128" s="48">
        <v>1.1000000000000001</v>
      </c>
      <c r="D128" s="48">
        <v>1.27</v>
      </c>
      <c r="E128" s="654"/>
      <c r="F128" s="655"/>
      <c r="G128" s="63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 t="s">
        <v>3199</v>
      </c>
      <c r="S128" s="633"/>
      <c r="T128" s="633"/>
      <c r="U128" s="636"/>
    </row>
    <row r="129" spans="1:21" x14ac:dyDescent="0.25">
      <c r="A129" s="605"/>
      <c r="B129" s="608"/>
      <c r="C129" s="654">
        <v>1.27</v>
      </c>
      <c r="D129" s="654">
        <v>1.44</v>
      </c>
      <c r="E129" s="654"/>
      <c r="F129" s="655"/>
      <c r="G129" s="63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 t="s">
        <v>3200</v>
      </c>
      <c r="S129" s="633"/>
      <c r="T129" s="633"/>
      <c r="U129" s="636"/>
    </row>
    <row r="130" spans="1:21" x14ac:dyDescent="0.25">
      <c r="A130" s="605"/>
      <c r="B130" s="608"/>
      <c r="C130" s="654"/>
      <c r="D130" s="654"/>
      <c r="E130" s="654"/>
      <c r="F130" s="655"/>
      <c r="G130" s="63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 t="s">
        <v>3201</v>
      </c>
      <c r="S130" s="633"/>
      <c r="T130" s="633"/>
      <c r="U130" s="636"/>
    </row>
    <row r="131" spans="1:21" x14ac:dyDescent="0.25">
      <c r="A131" s="605"/>
      <c r="B131" s="608"/>
      <c r="C131" s="654"/>
      <c r="D131" s="654"/>
      <c r="E131" s="654"/>
      <c r="F131" s="655"/>
      <c r="G131" s="63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 t="s">
        <v>3202</v>
      </c>
      <c r="S131" s="633"/>
      <c r="T131" s="633"/>
      <c r="U131" s="636"/>
    </row>
    <row r="132" spans="1:21" ht="14.4" thickBot="1" x14ac:dyDescent="0.3">
      <c r="A132" s="606"/>
      <c r="B132" s="609"/>
      <c r="C132" s="646"/>
      <c r="D132" s="646"/>
      <c r="E132" s="646"/>
      <c r="F132" s="648"/>
      <c r="G132" s="634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 t="s">
        <v>3203</v>
      </c>
      <c r="S132" s="634"/>
      <c r="T132" s="634"/>
      <c r="U132" s="637"/>
    </row>
    <row r="133" spans="1:21" ht="24.6" thickBot="1" x14ac:dyDescent="0.3">
      <c r="A133" s="55" t="s">
        <v>3204</v>
      </c>
      <c r="B133" s="45" t="s">
        <v>3205</v>
      </c>
      <c r="C133" s="68">
        <v>0</v>
      </c>
      <c r="D133" s="68">
        <v>1.53</v>
      </c>
      <c r="E133" s="68">
        <v>1.53</v>
      </c>
      <c r="F133" s="82">
        <v>7500</v>
      </c>
      <c r="G133" s="57" t="s">
        <v>32</v>
      </c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>
        <v>70860080061</v>
      </c>
      <c r="S133" s="57"/>
      <c r="T133" s="57" t="s">
        <v>215</v>
      </c>
      <c r="U133" s="342"/>
    </row>
    <row r="134" spans="1:21" x14ac:dyDescent="0.25">
      <c r="A134" s="617" t="s">
        <v>3206</v>
      </c>
      <c r="B134" s="618" t="s">
        <v>3207</v>
      </c>
      <c r="C134" s="79">
        <v>0</v>
      </c>
      <c r="D134" s="79">
        <v>1.73</v>
      </c>
      <c r="E134" s="998">
        <v>2.1</v>
      </c>
      <c r="F134" s="999">
        <v>9450</v>
      </c>
      <c r="G134" s="632" t="s">
        <v>32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>
        <v>70860100140</v>
      </c>
      <c r="S134" s="632"/>
      <c r="T134" s="632" t="s">
        <v>215</v>
      </c>
      <c r="U134" s="749"/>
    </row>
    <row r="135" spans="1:21" ht="14.4" thickBot="1" x14ac:dyDescent="0.3">
      <c r="A135" s="763"/>
      <c r="B135" s="764"/>
      <c r="C135" s="427">
        <v>1.73</v>
      </c>
      <c r="D135" s="427">
        <v>2.1</v>
      </c>
      <c r="E135" s="1135"/>
      <c r="F135" s="1136"/>
      <c r="G135" s="731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 t="s">
        <v>3208</v>
      </c>
      <c r="S135" s="731"/>
      <c r="T135" s="731"/>
      <c r="U135" s="1134"/>
    </row>
    <row r="136" spans="1:21" ht="14.4" thickBot="1" x14ac:dyDescent="0.3">
      <c r="A136" s="51" t="s">
        <v>3209</v>
      </c>
      <c r="B136" s="42" t="s">
        <v>3210</v>
      </c>
      <c r="C136" s="70">
        <v>0</v>
      </c>
      <c r="D136" s="70">
        <v>2.1800000000000002</v>
      </c>
      <c r="E136" s="70">
        <v>2.1800000000000002</v>
      </c>
      <c r="F136" s="83">
        <v>15330</v>
      </c>
      <c r="G136" s="53" t="s">
        <v>32</v>
      </c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428" t="s">
        <v>3211</v>
      </c>
      <c r="S136" s="53"/>
      <c r="T136" s="53"/>
      <c r="U136" s="123"/>
    </row>
    <row r="137" spans="1:21" x14ac:dyDescent="0.25">
      <c r="A137" s="604" t="s">
        <v>3212</v>
      </c>
      <c r="B137" s="607" t="s">
        <v>3213</v>
      </c>
      <c r="C137" s="43">
        <v>0</v>
      </c>
      <c r="D137" s="43">
        <v>2.4359999999999999</v>
      </c>
      <c r="E137" s="645">
        <v>6.5629999999999997</v>
      </c>
      <c r="F137" s="647">
        <v>44540</v>
      </c>
      <c r="G137" s="641" t="s">
        <v>32</v>
      </c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3" t="s">
        <v>3214</v>
      </c>
      <c r="S137" s="641"/>
      <c r="T137" s="641"/>
      <c r="U137" s="642"/>
    </row>
    <row r="138" spans="1:21" ht="14.4" thickBot="1" x14ac:dyDescent="0.3">
      <c r="A138" s="606"/>
      <c r="B138" s="609"/>
      <c r="C138" s="46">
        <v>2.4359999999999999</v>
      </c>
      <c r="D138" s="46">
        <v>6.5629999999999997</v>
      </c>
      <c r="E138" s="646"/>
      <c r="F138" s="648"/>
      <c r="G138" s="634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47">
        <v>70860080059001</v>
      </c>
      <c r="S138" s="634"/>
      <c r="T138" s="634"/>
      <c r="U138" s="637"/>
    </row>
    <row r="139" spans="1:21" x14ac:dyDescent="0.25">
      <c r="A139" s="959" t="s">
        <v>3215</v>
      </c>
      <c r="B139" s="618" t="s">
        <v>3216</v>
      </c>
      <c r="C139" s="79">
        <v>0</v>
      </c>
      <c r="D139" s="79">
        <v>0.14599999999999999</v>
      </c>
      <c r="E139" s="694">
        <v>0.41699999999999998</v>
      </c>
      <c r="F139" s="999">
        <v>2502</v>
      </c>
      <c r="G139" s="632" t="s">
        <v>32</v>
      </c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 t="s">
        <v>3217</v>
      </c>
      <c r="S139" s="632"/>
      <c r="T139" s="632" t="s">
        <v>215</v>
      </c>
      <c r="U139" s="635"/>
    </row>
    <row r="140" spans="1:21" x14ac:dyDescent="0.25">
      <c r="A140" s="690"/>
      <c r="B140" s="608"/>
      <c r="C140" s="48">
        <v>9.6000000000000002E-2</v>
      </c>
      <c r="D140" s="48">
        <v>0.2</v>
      </c>
      <c r="E140" s="695"/>
      <c r="F140" s="655"/>
      <c r="G140" s="63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 t="s">
        <v>3218</v>
      </c>
      <c r="S140" s="633"/>
      <c r="T140" s="633"/>
      <c r="U140" s="636"/>
    </row>
    <row r="141" spans="1:21" x14ac:dyDescent="0.25">
      <c r="A141" s="690"/>
      <c r="B141" s="608"/>
      <c r="C141" s="48">
        <v>0.14599999999999999</v>
      </c>
      <c r="D141" s="48">
        <v>0.18</v>
      </c>
      <c r="E141" s="695"/>
      <c r="F141" s="655"/>
      <c r="G141" s="63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 t="s">
        <v>3219</v>
      </c>
      <c r="S141" s="633"/>
      <c r="T141" s="633"/>
      <c r="U141" s="636"/>
    </row>
    <row r="142" spans="1:21" x14ac:dyDescent="0.25">
      <c r="A142" s="690"/>
      <c r="B142" s="608"/>
      <c r="C142" s="48">
        <v>0.18</v>
      </c>
      <c r="D142" s="48">
        <v>0.216</v>
      </c>
      <c r="E142" s="695"/>
      <c r="F142" s="655"/>
      <c r="G142" s="63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 t="s">
        <v>3220</v>
      </c>
      <c r="S142" s="633"/>
      <c r="T142" s="633"/>
      <c r="U142" s="636"/>
    </row>
    <row r="143" spans="1:21" x14ac:dyDescent="0.25">
      <c r="A143" s="690"/>
      <c r="B143" s="608"/>
      <c r="C143" s="48">
        <v>0.2</v>
      </c>
      <c r="D143" s="48">
        <v>0.23</v>
      </c>
      <c r="E143" s="695"/>
      <c r="F143" s="655"/>
      <c r="G143" s="63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 t="s">
        <v>3221</v>
      </c>
      <c r="S143" s="633"/>
      <c r="T143" s="633"/>
      <c r="U143" s="636"/>
    </row>
    <row r="144" spans="1:21" x14ac:dyDescent="0.25">
      <c r="A144" s="690"/>
      <c r="B144" s="608"/>
      <c r="C144" s="48">
        <v>0.216</v>
      </c>
      <c r="D144" s="48">
        <v>0.25</v>
      </c>
      <c r="E144" s="695"/>
      <c r="F144" s="655"/>
      <c r="G144" s="63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 t="s">
        <v>3222</v>
      </c>
      <c r="S144" s="633"/>
      <c r="T144" s="633"/>
      <c r="U144" s="636"/>
    </row>
    <row r="145" spans="1:21" x14ac:dyDescent="0.25">
      <c r="A145" s="690"/>
      <c r="B145" s="608"/>
      <c r="C145" s="48">
        <v>0.23</v>
      </c>
      <c r="D145" s="48">
        <v>0.26</v>
      </c>
      <c r="E145" s="695"/>
      <c r="F145" s="655"/>
      <c r="G145" s="63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 t="s">
        <v>3223</v>
      </c>
      <c r="S145" s="633"/>
      <c r="T145" s="633"/>
      <c r="U145" s="636"/>
    </row>
    <row r="146" spans="1:21" x14ac:dyDescent="0.25">
      <c r="A146" s="690"/>
      <c r="B146" s="608"/>
      <c r="C146" s="48">
        <v>0.25</v>
      </c>
      <c r="D146" s="48">
        <v>0.28599999999999998</v>
      </c>
      <c r="E146" s="695"/>
      <c r="F146" s="655"/>
      <c r="G146" s="63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 t="s">
        <v>3224</v>
      </c>
      <c r="S146" s="633"/>
      <c r="T146" s="633"/>
      <c r="U146" s="636"/>
    </row>
    <row r="147" spans="1:21" x14ac:dyDescent="0.25">
      <c r="A147" s="690"/>
      <c r="B147" s="608"/>
      <c r="C147" s="48">
        <v>0.26</v>
      </c>
      <c r="D147" s="48">
        <v>0.29099999999999998</v>
      </c>
      <c r="E147" s="695"/>
      <c r="F147" s="655"/>
      <c r="G147" s="63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 t="s">
        <v>3225</v>
      </c>
      <c r="S147" s="633"/>
      <c r="T147" s="633"/>
      <c r="U147" s="636"/>
    </row>
    <row r="148" spans="1:21" x14ac:dyDescent="0.25">
      <c r="A148" s="690"/>
      <c r="B148" s="608"/>
      <c r="C148" s="48">
        <v>0.28599999999999998</v>
      </c>
      <c r="D148" s="48">
        <v>0.33500000000000002</v>
      </c>
      <c r="E148" s="695"/>
      <c r="F148" s="655"/>
      <c r="G148" s="63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 t="s">
        <v>3226</v>
      </c>
      <c r="S148" s="633"/>
      <c r="T148" s="633"/>
      <c r="U148" s="636"/>
    </row>
    <row r="149" spans="1:21" x14ac:dyDescent="0.25">
      <c r="A149" s="690"/>
      <c r="B149" s="608"/>
      <c r="C149" s="48">
        <v>0.29099999999999998</v>
      </c>
      <c r="D149" s="48">
        <v>0.33500000000000002</v>
      </c>
      <c r="E149" s="695"/>
      <c r="F149" s="655"/>
      <c r="G149" s="63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 t="s">
        <v>3227</v>
      </c>
      <c r="S149" s="633"/>
      <c r="T149" s="633"/>
      <c r="U149" s="636"/>
    </row>
    <row r="150" spans="1:21" x14ac:dyDescent="0.25">
      <c r="A150" s="690"/>
      <c r="B150" s="608"/>
      <c r="C150" s="48">
        <v>0.33500000000000002</v>
      </c>
      <c r="D150" s="48">
        <v>0.41699999999999998</v>
      </c>
      <c r="E150" s="695"/>
      <c r="F150" s="655"/>
      <c r="G150" s="63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 t="s">
        <v>3228</v>
      </c>
      <c r="S150" s="633"/>
      <c r="T150" s="633"/>
      <c r="U150" s="636"/>
    </row>
    <row r="151" spans="1:21" x14ac:dyDescent="0.25">
      <c r="A151" s="690"/>
      <c r="B151" s="608"/>
      <c r="C151" s="48">
        <v>0.33500000000000002</v>
      </c>
      <c r="D151" s="48">
        <v>0.379</v>
      </c>
      <c r="E151" s="695"/>
      <c r="F151" s="655"/>
      <c r="G151" s="63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 t="s">
        <v>3229</v>
      </c>
      <c r="S151" s="633"/>
      <c r="T151" s="633"/>
      <c r="U151" s="636"/>
    </row>
    <row r="152" spans="1:21" ht="14.4" thickBot="1" x14ac:dyDescent="0.3">
      <c r="A152" s="1138"/>
      <c r="B152" s="764"/>
      <c r="C152" s="427">
        <v>0.379</v>
      </c>
      <c r="D152" s="427">
        <v>0.41699999999999998</v>
      </c>
      <c r="E152" s="696"/>
      <c r="F152" s="1136"/>
      <c r="G152" s="731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 t="s">
        <v>3230</v>
      </c>
      <c r="S152" s="731"/>
      <c r="T152" s="731"/>
      <c r="U152" s="1137"/>
    </row>
    <row r="153" spans="1:21" x14ac:dyDescent="0.25">
      <c r="A153" s="604" t="s">
        <v>3231</v>
      </c>
      <c r="B153" s="607" t="s">
        <v>3232</v>
      </c>
      <c r="C153" s="645">
        <v>0</v>
      </c>
      <c r="D153" s="645">
        <v>0.56999999999999995</v>
      </c>
      <c r="E153" s="645">
        <v>0.56999999999999995</v>
      </c>
      <c r="F153" s="641">
        <f>E153*6*1000</f>
        <v>3420</v>
      </c>
      <c r="G153" s="641" t="s">
        <v>32</v>
      </c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>
        <v>70860090118</v>
      </c>
      <c r="S153" s="641"/>
      <c r="T153" s="641" t="s">
        <v>215</v>
      </c>
      <c r="U153" s="642" t="s">
        <v>67</v>
      </c>
    </row>
    <row r="154" spans="1:21" ht="14.4" thickBot="1" x14ac:dyDescent="0.3">
      <c r="A154" s="763"/>
      <c r="B154" s="764"/>
      <c r="C154" s="1135"/>
      <c r="D154" s="1135"/>
      <c r="E154" s="1135"/>
      <c r="F154" s="731"/>
      <c r="G154" s="731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 t="s">
        <v>3233</v>
      </c>
      <c r="S154" s="731"/>
      <c r="T154" s="731"/>
      <c r="U154" s="1137"/>
    </row>
    <row r="155" spans="1:21" x14ac:dyDescent="0.25">
      <c r="A155" s="604" t="s">
        <v>3234</v>
      </c>
      <c r="B155" s="607" t="s">
        <v>3235</v>
      </c>
      <c r="C155" s="43">
        <v>0</v>
      </c>
      <c r="D155" s="43">
        <v>0.51400000000000001</v>
      </c>
      <c r="E155" s="645">
        <v>1.26</v>
      </c>
      <c r="F155" s="647">
        <v>5625</v>
      </c>
      <c r="G155" s="641" t="s">
        <v>32</v>
      </c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 t="s">
        <v>3236</v>
      </c>
      <c r="S155" s="641"/>
      <c r="T155" s="641" t="s">
        <v>215</v>
      </c>
      <c r="U155" s="642"/>
    </row>
    <row r="156" spans="1:21" x14ac:dyDescent="0.25">
      <c r="A156" s="605"/>
      <c r="B156" s="608"/>
      <c r="C156" s="48">
        <v>0.51400000000000001</v>
      </c>
      <c r="D156" s="48">
        <v>0.88700000000000001</v>
      </c>
      <c r="E156" s="654"/>
      <c r="F156" s="655"/>
      <c r="G156" s="63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>
        <v>70860180074</v>
      </c>
      <c r="S156" s="633"/>
      <c r="T156" s="633"/>
      <c r="U156" s="636"/>
    </row>
    <row r="157" spans="1:21" ht="14.4" thickBot="1" x14ac:dyDescent="0.3">
      <c r="A157" s="606"/>
      <c r="B157" s="609"/>
      <c r="C157" s="46">
        <v>0.88700000000000001</v>
      </c>
      <c r="D157" s="46">
        <v>1.26</v>
      </c>
      <c r="E157" s="646"/>
      <c r="F157" s="648"/>
      <c r="G157" s="634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 t="s">
        <v>3237</v>
      </c>
      <c r="S157" s="634"/>
      <c r="T157" s="634"/>
      <c r="U157" s="637"/>
    </row>
    <row r="159" spans="1:21" ht="24" x14ac:dyDescent="0.25">
      <c r="B159" s="61" t="s">
        <v>202</v>
      </c>
      <c r="C159" s="135"/>
      <c r="D159" s="135"/>
      <c r="E159" s="135"/>
      <c r="F159" s="135"/>
      <c r="G159" s="135"/>
      <c r="H159" s="135"/>
    </row>
    <row r="160" spans="1:21" ht="24" x14ac:dyDescent="0.25">
      <c r="B160" s="61" t="s">
        <v>203</v>
      </c>
      <c r="C160" s="135"/>
      <c r="D160" s="135"/>
      <c r="E160" s="135"/>
      <c r="F160" s="135"/>
      <c r="G160" s="135"/>
      <c r="H160" s="135"/>
    </row>
    <row r="161" spans="1:32" ht="24" x14ac:dyDescent="0.25">
      <c r="B161" s="61" t="s">
        <v>204</v>
      </c>
      <c r="C161" s="135"/>
      <c r="D161" s="135"/>
      <c r="E161" s="135"/>
      <c r="F161" s="135"/>
      <c r="G161" s="135"/>
      <c r="H161" s="135"/>
    </row>
    <row r="162" spans="1:32" ht="24" x14ac:dyDescent="0.25">
      <c r="B162" s="61" t="s">
        <v>205</v>
      </c>
    </row>
    <row r="164" spans="1:32" ht="27.6" customHeight="1" x14ac:dyDescent="0.25">
      <c r="A164" s="509"/>
      <c r="B164" s="509"/>
      <c r="C164" s="512" t="s">
        <v>3985</v>
      </c>
      <c r="D164" s="543" t="s">
        <v>3986</v>
      </c>
      <c r="E164" s="543"/>
      <c r="F164" s="543"/>
      <c r="G164" s="509"/>
      <c r="H164" s="509"/>
      <c r="I164" s="509"/>
      <c r="J164" s="509"/>
      <c r="K164" s="509"/>
      <c r="L164" s="509"/>
      <c r="M164" s="509"/>
      <c r="N164" s="509"/>
      <c r="O164" s="509"/>
      <c r="P164" s="509"/>
      <c r="Q164" s="509"/>
      <c r="R164" s="509"/>
      <c r="S164" s="509"/>
      <c r="T164" s="509"/>
      <c r="U164" s="509"/>
      <c r="V164" s="509"/>
      <c r="W164" s="509"/>
      <c r="X164" s="509"/>
      <c r="Y164" s="509"/>
      <c r="Z164" s="509"/>
      <c r="AA164" s="509"/>
      <c r="AB164" s="509"/>
      <c r="AC164" s="509"/>
      <c r="AD164" s="509"/>
      <c r="AE164" s="510"/>
      <c r="AF164" s="510"/>
    </row>
    <row r="165" spans="1:32" x14ac:dyDescent="0.25">
      <c r="A165" s="509"/>
      <c r="B165" s="509"/>
      <c r="C165" s="509"/>
      <c r="D165" s="509"/>
      <c r="E165" s="509"/>
      <c r="F165" s="509"/>
      <c r="G165" s="509"/>
      <c r="H165" s="509"/>
      <c r="I165" s="509"/>
      <c r="J165" s="509"/>
      <c r="K165" s="509"/>
      <c r="L165" s="509"/>
      <c r="M165" s="509"/>
      <c r="N165" s="509"/>
      <c r="O165" s="509"/>
      <c r="P165" s="509"/>
      <c r="Q165" s="509"/>
      <c r="R165" s="509"/>
      <c r="S165" s="509"/>
      <c r="T165" s="509"/>
      <c r="U165" s="509"/>
      <c r="V165" s="509"/>
      <c r="W165" s="509"/>
      <c r="X165" s="509"/>
      <c r="Y165" s="509"/>
      <c r="Z165" s="509"/>
      <c r="AA165" s="509"/>
      <c r="AB165" s="509"/>
      <c r="AC165" s="509"/>
      <c r="AD165" s="509"/>
      <c r="AE165" s="510"/>
      <c r="AF165" s="510"/>
    </row>
    <row r="166" spans="1:32" x14ac:dyDescent="0.25">
      <c r="A166" s="509"/>
      <c r="B166" s="509"/>
      <c r="C166" s="509"/>
      <c r="D166" s="509"/>
      <c r="E166" s="509"/>
      <c r="F166" s="509"/>
      <c r="G166" s="509"/>
      <c r="H166" s="509"/>
      <c r="I166" s="509"/>
      <c r="J166" s="509"/>
      <c r="K166" s="509"/>
      <c r="L166" s="509"/>
      <c r="M166" s="509"/>
      <c r="N166" s="509"/>
      <c r="O166" s="509"/>
      <c r="P166" s="509"/>
      <c r="Q166" s="509"/>
      <c r="R166" s="509"/>
      <c r="S166" s="509"/>
      <c r="T166" s="509"/>
      <c r="U166" s="509"/>
      <c r="V166" s="509"/>
      <c r="W166" s="509"/>
      <c r="X166" s="509"/>
      <c r="Y166" s="509"/>
      <c r="Z166" s="509"/>
      <c r="AA166" s="509"/>
      <c r="AB166" s="509"/>
      <c r="AC166" s="509"/>
      <c r="AD166" s="509"/>
      <c r="AE166" s="417"/>
      <c r="AF166" s="510"/>
    </row>
    <row r="167" spans="1:32" x14ac:dyDescent="0.25">
      <c r="A167" s="59"/>
      <c r="B167" s="60"/>
      <c r="C167" s="438" t="s">
        <v>3989</v>
      </c>
      <c r="D167" s="544" t="s">
        <v>3990</v>
      </c>
      <c r="E167" s="544"/>
      <c r="F167" s="544"/>
      <c r="G167" s="544"/>
      <c r="H167" s="544"/>
      <c r="I167" s="544"/>
      <c r="U167" s="60"/>
    </row>
    <row r="168" spans="1:32" ht="13.95" customHeight="1" x14ac:dyDescent="0.25">
      <c r="A168" s="59"/>
      <c r="B168" s="60"/>
      <c r="C168" s="438" t="s">
        <v>3987</v>
      </c>
      <c r="D168" s="553" t="s">
        <v>3988</v>
      </c>
      <c r="E168" s="553"/>
      <c r="F168" s="553"/>
      <c r="G168" s="553"/>
      <c r="H168" s="553"/>
      <c r="I168" s="553"/>
      <c r="U168" s="60"/>
    </row>
    <row r="169" spans="1:32" ht="14.4" customHeight="1" x14ac:dyDescent="0.25">
      <c r="A169" s="59"/>
      <c r="B169" s="59"/>
      <c r="F169" s="59"/>
      <c r="U169" s="60"/>
    </row>
    <row r="170" spans="1:32" x14ac:dyDescent="0.25">
      <c r="A170" s="469"/>
      <c r="B170" s="743" t="s">
        <v>3984</v>
      </c>
      <c r="C170" s="743"/>
      <c r="D170" s="743"/>
      <c r="E170" s="743"/>
      <c r="F170" s="743"/>
      <c r="G170" s="743"/>
      <c r="H170" s="743"/>
      <c r="I170" s="743"/>
      <c r="T170" s="304"/>
      <c r="U170" s="304"/>
    </row>
  </sheetData>
  <mergeCells count="302">
    <mergeCell ref="D167:I167"/>
    <mergeCell ref="D168:I168"/>
    <mergeCell ref="B170:I170"/>
    <mergeCell ref="A155:A157"/>
    <mergeCell ref="B155:B157"/>
    <mergeCell ref="E155:E157"/>
    <mergeCell ref="F155:F157"/>
    <mergeCell ref="G155:G157"/>
    <mergeCell ref="S155:S157"/>
    <mergeCell ref="T155:T157"/>
    <mergeCell ref="U155:U157"/>
    <mergeCell ref="D164:F164"/>
    <mergeCell ref="T139:T152"/>
    <mergeCell ref="U139:U152"/>
    <mergeCell ref="A153:A154"/>
    <mergeCell ref="B153:B154"/>
    <mergeCell ref="C153:C154"/>
    <mergeCell ref="D153:D154"/>
    <mergeCell ref="E153:E154"/>
    <mergeCell ref="F153:F154"/>
    <mergeCell ref="G153:G154"/>
    <mergeCell ref="S153:S154"/>
    <mergeCell ref="A139:A152"/>
    <mergeCell ref="B139:B152"/>
    <mergeCell ref="E139:E152"/>
    <mergeCell ref="F139:F152"/>
    <mergeCell ref="G139:G152"/>
    <mergeCell ref="S139:S152"/>
    <mergeCell ref="T153:T154"/>
    <mergeCell ref="U153:U154"/>
    <mergeCell ref="T134:T135"/>
    <mergeCell ref="U134:U135"/>
    <mergeCell ref="A137:A138"/>
    <mergeCell ref="B137:B138"/>
    <mergeCell ref="E137:E138"/>
    <mergeCell ref="F137:F138"/>
    <mergeCell ref="G137:G138"/>
    <mergeCell ref="S137:S138"/>
    <mergeCell ref="T137:T138"/>
    <mergeCell ref="U137:U138"/>
    <mergeCell ref="A134:A135"/>
    <mergeCell ref="B134:B135"/>
    <mergeCell ref="E134:E135"/>
    <mergeCell ref="F134:F135"/>
    <mergeCell ref="G134:G135"/>
    <mergeCell ref="S134:S135"/>
    <mergeCell ref="T120:T132"/>
    <mergeCell ref="U120:U132"/>
    <mergeCell ref="C124:C127"/>
    <mergeCell ref="D124:D127"/>
    <mergeCell ref="C129:C132"/>
    <mergeCell ref="D129:D132"/>
    <mergeCell ref="T116:T119"/>
    <mergeCell ref="U116:U119"/>
    <mergeCell ref="A120:A132"/>
    <mergeCell ref="B120:B132"/>
    <mergeCell ref="C120:C122"/>
    <mergeCell ref="D120:D122"/>
    <mergeCell ref="E120:E132"/>
    <mergeCell ref="F120:F132"/>
    <mergeCell ref="G120:G132"/>
    <mergeCell ref="S120:S132"/>
    <mergeCell ref="A116:A119"/>
    <mergeCell ref="B116:B119"/>
    <mergeCell ref="E116:E119"/>
    <mergeCell ref="F116:F119"/>
    <mergeCell ref="G116:G119"/>
    <mergeCell ref="S116:S119"/>
    <mergeCell ref="A104:A111"/>
    <mergeCell ref="B104:B111"/>
    <mergeCell ref="E104:E111"/>
    <mergeCell ref="F104:F111"/>
    <mergeCell ref="G104:G111"/>
    <mergeCell ref="S104:S111"/>
    <mergeCell ref="T104:T111"/>
    <mergeCell ref="U104:U111"/>
    <mergeCell ref="A113:A114"/>
    <mergeCell ref="B113:B114"/>
    <mergeCell ref="E113:E114"/>
    <mergeCell ref="F113:F114"/>
    <mergeCell ref="G113:G114"/>
    <mergeCell ref="S113:S114"/>
    <mergeCell ref="T113:T114"/>
    <mergeCell ref="U113:U114"/>
    <mergeCell ref="T96:T98"/>
    <mergeCell ref="U96:U98"/>
    <mergeCell ref="A99:A103"/>
    <mergeCell ref="B99:B103"/>
    <mergeCell ref="E99:E103"/>
    <mergeCell ref="F99:F103"/>
    <mergeCell ref="G99:G103"/>
    <mergeCell ref="S99:S103"/>
    <mergeCell ref="G96:G98"/>
    <mergeCell ref="H96:H97"/>
    <mergeCell ref="I96:I97"/>
    <mergeCell ref="J96:J97"/>
    <mergeCell ref="K96:K97"/>
    <mergeCell ref="L96:L97"/>
    <mergeCell ref="T99:T103"/>
    <mergeCell ref="U99:U103"/>
    <mergeCell ref="C102:C103"/>
    <mergeCell ref="D102:D103"/>
    <mergeCell ref="C93:C94"/>
    <mergeCell ref="D93:D94"/>
    <mergeCell ref="A96:A98"/>
    <mergeCell ref="B96:B98"/>
    <mergeCell ref="E96:E98"/>
    <mergeCell ref="F96:F98"/>
    <mergeCell ref="T90:T91"/>
    <mergeCell ref="U90:U91"/>
    <mergeCell ref="A92:A94"/>
    <mergeCell ref="B92:B94"/>
    <mergeCell ref="E92:E94"/>
    <mergeCell ref="F92:F94"/>
    <mergeCell ref="G92:G94"/>
    <mergeCell ref="S92:S94"/>
    <mergeCell ref="T92:T94"/>
    <mergeCell ref="U92:U94"/>
    <mergeCell ref="A90:A91"/>
    <mergeCell ref="B90:B91"/>
    <mergeCell ref="E90:E91"/>
    <mergeCell ref="F90:F91"/>
    <mergeCell ref="G90:G91"/>
    <mergeCell ref="S90:S91"/>
    <mergeCell ref="O96:O97"/>
    <mergeCell ref="S96:S98"/>
    <mergeCell ref="T84:T89"/>
    <mergeCell ref="U84:U89"/>
    <mergeCell ref="C85:C86"/>
    <mergeCell ref="D85:D86"/>
    <mergeCell ref="C88:C89"/>
    <mergeCell ref="D88:D89"/>
    <mergeCell ref="A84:A89"/>
    <mergeCell ref="B84:B89"/>
    <mergeCell ref="E84:E89"/>
    <mergeCell ref="F84:F89"/>
    <mergeCell ref="G84:G89"/>
    <mergeCell ref="S84:S89"/>
    <mergeCell ref="A78:A80"/>
    <mergeCell ref="B78:B80"/>
    <mergeCell ref="E78:E80"/>
    <mergeCell ref="F78:F80"/>
    <mergeCell ref="G78:G80"/>
    <mergeCell ref="S78:S80"/>
    <mergeCell ref="T78:T80"/>
    <mergeCell ref="U78:U80"/>
    <mergeCell ref="A82:A83"/>
    <mergeCell ref="B82:B83"/>
    <mergeCell ref="E82:E83"/>
    <mergeCell ref="F82:F83"/>
    <mergeCell ref="G82:G83"/>
    <mergeCell ref="S82:S83"/>
    <mergeCell ref="T82:T83"/>
    <mergeCell ref="U82:U83"/>
    <mergeCell ref="F68:F72"/>
    <mergeCell ref="G68:G72"/>
    <mergeCell ref="A75:A76"/>
    <mergeCell ref="B75:B76"/>
    <mergeCell ref="E75:E76"/>
    <mergeCell ref="F75:F76"/>
    <mergeCell ref="G75:G76"/>
    <mergeCell ref="U63:U65"/>
    <mergeCell ref="R64:R65"/>
    <mergeCell ref="A66:A72"/>
    <mergeCell ref="B66:B72"/>
    <mergeCell ref="E66:E72"/>
    <mergeCell ref="F66:F67"/>
    <mergeCell ref="G66:G67"/>
    <mergeCell ref="S66:S72"/>
    <mergeCell ref="T66:T72"/>
    <mergeCell ref="U66:U72"/>
    <mergeCell ref="S75:S76"/>
    <mergeCell ref="T75:T76"/>
    <mergeCell ref="U75:U76"/>
    <mergeCell ref="T58:T62"/>
    <mergeCell ref="U58:U62"/>
    <mergeCell ref="R61:R62"/>
    <mergeCell ref="A63:A65"/>
    <mergeCell ref="B63:B65"/>
    <mergeCell ref="E63:E65"/>
    <mergeCell ref="F63:F65"/>
    <mergeCell ref="G63:G65"/>
    <mergeCell ref="S63:S65"/>
    <mergeCell ref="T63:T65"/>
    <mergeCell ref="A58:A62"/>
    <mergeCell ref="B58:B62"/>
    <mergeCell ref="E58:E62"/>
    <mergeCell ref="F58:F61"/>
    <mergeCell ref="G58:G61"/>
    <mergeCell ref="S58:S62"/>
    <mergeCell ref="U49:U55"/>
    <mergeCell ref="A56:A57"/>
    <mergeCell ref="B56:B57"/>
    <mergeCell ref="E56:E57"/>
    <mergeCell ref="F56:F57"/>
    <mergeCell ref="G56:G57"/>
    <mergeCell ref="S56:S57"/>
    <mergeCell ref="T56:T57"/>
    <mergeCell ref="U56:U57"/>
    <mergeCell ref="A49:A55"/>
    <mergeCell ref="B49:B55"/>
    <mergeCell ref="C49:C55"/>
    <mergeCell ref="D49:D55"/>
    <mergeCell ref="E49:E55"/>
    <mergeCell ref="F49:F55"/>
    <mergeCell ref="G49:G55"/>
    <mergeCell ref="S49:S55"/>
    <mergeCell ref="T49:T55"/>
    <mergeCell ref="A45:A47"/>
    <mergeCell ref="B45:B47"/>
    <mergeCell ref="E45:E47"/>
    <mergeCell ref="F45:F47"/>
    <mergeCell ref="G45:G47"/>
    <mergeCell ref="R45:R47"/>
    <mergeCell ref="S45:S47"/>
    <mergeCell ref="T45:T47"/>
    <mergeCell ref="U45:U47"/>
    <mergeCell ref="T34:T41"/>
    <mergeCell ref="U34:U41"/>
    <mergeCell ref="R39:R40"/>
    <mergeCell ref="F40:F41"/>
    <mergeCell ref="G40:G41"/>
    <mergeCell ref="A42:A44"/>
    <mergeCell ref="B42:B44"/>
    <mergeCell ref="E42:E44"/>
    <mergeCell ref="S42:S44"/>
    <mergeCell ref="T42:T44"/>
    <mergeCell ref="A34:A41"/>
    <mergeCell ref="B34:B41"/>
    <mergeCell ref="E34:E41"/>
    <mergeCell ref="F34:F39"/>
    <mergeCell ref="G34:G39"/>
    <mergeCell ref="S34:S41"/>
    <mergeCell ref="U42:U44"/>
    <mergeCell ref="F43:F44"/>
    <mergeCell ref="G43:G44"/>
    <mergeCell ref="T12:T33"/>
    <mergeCell ref="U12:U33"/>
    <mergeCell ref="C25:C26"/>
    <mergeCell ref="D25:D26"/>
    <mergeCell ref="C27:C30"/>
    <mergeCell ref="D27:D30"/>
    <mergeCell ref="C31:C33"/>
    <mergeCell ref="D31:D33"/>
    <mergeCell ref="T10:T11"/>
    <mergeCell ref="U10:U11"/>
    <mergeCell ref="A12:A33"/>
    <mergeCell ref="B12:B33"/>
    <mergeCell ref="C12:C24"/>
    <mergeCell ref="D12:D24"/>
    <mergeCell ref="E12:E33"/>
    <mergeCell ref="F12:F33"/>
    <mergeCell ref="G12:G33"/>
    <mergeCell ref="S12:S33"/>
    <mergeCell ref="A10:A11"/>
    <mergeCell ref="B10:B11"/>
    <mergeCell ref="E10:E11"/>
    <mergeCell ref="F10:F11"/>
    <mergeCell ref="G10:G11"/>
    <mergeCell ref="S10:S11"/>
    <mergeCell ref="S8:S9"/>
    <mergeCell ref="T8:T9"/>
    <mergeCell ref="U8:U9"/>
    <mergeCell ref="J8:J9"/>
    <mergeCell ref="K8:K9"/>
    <mergeCell ref="L8:L9"/>
    <mergeCell ref="M8:M9"/>
    <mergeCell ref="N8:N9"/>
    <mergeCell ref="O8:O9"/>
    <mergeCell ref="R4:R5"/>
    <mergeCell ref="A8:A9"/>
    <mergeCell ref="B8:B9"/>
    <mergeCell ref="E8:E9"/>
    <mergeCell ref="H8:H9"/>
    <mergeCell ref="I8:I9"/>
    <mergeCell ref="P8:P9"/>
    <mergeCell ref="Q8:Q9"/>
    <mergeCell ref="R8:R9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  <mergeCell ref="O4:O5"/>
    <mergeCell ref="P4:P5"/>
    <mergeCell ref="Q4:Q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2ACE-D8ED-41EB-AFBB-A39BFBC9056C}">
  <dimension ref="A1:AF107"/>
  <sheetViews>
    <sheetView workbookViewId="0">
      <selection activeCell="V5" sqref="V5"/>
    </sheetView>
  </sheetViews>
  <sheetFormatPr defaultColWidth="8.88671875" defaultRowHeight="13.8" x14ac:dyDescent="0.25"/>
  <cols>
    <col min="1" max="1" width="16.109375" style="59" customWidth="1"/>
    <col min="2" max="2" width="30.44140625" style="59" customWidth="1"/>
    <col min="3" max="3" width="10.6640625" style="59" customWidth="1"/>
    <col min="4" max="8" width="8.88671875" style="59"/>
    <col min="9" max="9" width="23.6640625" style="59" customWidth="1"/>
    <col min="10" max="10" width="14" style="59" customWidth="1"/>
    <col min="11" max="12" width="8.88671875" style="59"/>
    <col min="13" max="13" width="10.5546875" style="59" customWidth="1"/>
    <col min="14" max="14" width="10" style="59" customWidth="1"/>
    <col min="15" max="15" width="12.6640625" style="59" customWidth="1"/>
    <col min="16" max="17" width="8.88671875" style="59"/>
    <col min="18" max="18" width="14" style="59" customWidth="1"/>
    <col min="19" max="19" width="19" style="312" customWidth="1"/>
    <col min="20" max="20" width="44.6640625" style="75" customWidth="1"/>
    <col min="21" max="21" width="31.6640625" style="75" customWidth="1"/>
    <col min="22" max="16384" width="8.88671875" style="59"/>
  </cols>
  <sheetData>
    <row r="1" spans="1:21" ht="18" thickBot="1" x14ac:dyDescent="0.3">
      <c r="A1" s="589" t="s">
        <v>3238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32.25" customHeight="1" thickBot="1" x14ac:dyDescent="0.3">
      <c r="A2" s="1139" t="s">
        <v>342</v>
      </c>
      <c r="B2" s="1142" t="s">
        <v>2</v>
      </c>
      <c r="C2" s="1145" t="s">
        <v>3</v>
      </c>
      <c r="D2" s="1146"/>
      <c r="E2" s="1146"/>
      <c r="F2" s="1146"/>
      <c r="G2" s="1146"/>
      <c r="H2" s="1146"/>
      <c r="I2" s="1146"/>
      <c r="J2" s="1146"/>
      <c r="K2" s="1146"/>
      <c r="L2" s="1146"/>
      <c r="M2" s="1146"/>
      <c r="N2" s="1146"/>
      <c r="O2" s="1146"/>
      <c r="P2" s="1146"/>
      <c r="Q2" s="1147"/>
      <c r="R2" s="1142" t="s">
        <v>4</v>
      </c>
      <c r="S2" s="1142" t="s">
        <v>5</v>
      </c>
      <c r="T2" s="1155" t="s">
        <v>207</v>
      </c>
      <c r="U2" s="642" t="s">
        <v>7</v>
      </c>
    </row>
    <row r="3" spans="1:21" ht="24" customHeight="1" thickBot="1" x14ac:dyDescent="0.3">
      <c r="A3" s="1140"/>
      <c r="B3" s="1143"/>
      <c r="C3" s="1151" t="s">
        <v>8</v>
      </c>
      <c r="D3" s="1152"/>
      <c r="E3" s="1152"/>
      <c r="F3" s="1152"/>
      <c r="G3" s="1153"/>
      <c r="H3" s="1151" t="s">
        <v>9</v>
      </c>
      <c r="I3" s="1152"/>
      <c r="J3" s="1152"/>
      <c r="K3" s="1152"/>
      <c r="L3" s="1152"/>
      <c r="M3" s="1152"/>
      <c r="N3" s="1152"/>
      <c r="O3" s="1153"/>
      <c r="P3" s="1151" t="s">
        <v>10</v>
      </c>
      <c r="Q3" s="1153"/>
      <c r="R3" s="1148"/>
      <c r="S3" s="1143"/>
      <c r="T3" s="1149"/>
      <c r="U3" s="636"/>
    </row>
    <row r="4" spans="1:21" ht="48.75" customHeight="1" thickBot="1" x14ac:dyDescent="0.3">
      <c r="A4" s="1140"/>
      <c r="B4" s="1143"/>
      <c r="C4" s="1151" t="s">
        <v>11</v>
      </c>
      <c r="D4" s="1153"/>
      <c r="E4" s="1154" t="s">
        <v>12</v>
      </c>
      <c r="F4" s="1154" t="s">
        <v>343</v>
      </c>
      <c r="G4" s="1154" t="s">
        <v>14</v>
      </c>
      <c r="H4" s="1154" t="s">
        <v>15</v>
      </c>
      <c r="I4" s="1151" t="s">
        <v>16</v>
      </c>
      <c r="J4" s="1153"/>
      <c r="K4" s="1154" t="s">
        <v>17</v>
      </c>
      <c r="L4" s="1154" t="s">
        <v>343</v>
      </c>
      <c r="M4" s="1154" t="s">
        <v>3239</v>
      </c>
      <c r="N4" s="1154" t="s">
        <v>19</v>
      </c>
      <c r="O4" s="1154" t="s">
        <v>210</v>
      </c>
      <c r="P4" s="1154" t="s">
        <v>345</v>
      </c>
      <c r="Q4" s="1154" t="s">
        <v>17</v>
      </c>
      <c r="R4" s="1154" t="s">
        <v>21</v>
      </c>
      <c r="S4" s="1149"/>
      <c r="T4" s="1149"/>
      <c r="U4" s="636"/>
    </row>
    <row r="5" spans="1:21" ht="24.6" thickBot="1" x14ac:dyDescent="0.3">
      <c r="A5" s="1141"/>
      <c r="B5" s="1144"/>
      <c r="C5" s="528" t="s">
        <v>22</v>
      </c>
      <c r="D5" s="528" t="s">
        <v>23</v>
      </c>
      <c r="E5" s="1144"/>
      <c r="F5" s="1144"/>
      <c r="G5" s="1144"/>
      <c r="H5" s="1144"/>
      <c r="I5" s="528" t="s">
        <v>24</v>
      </c>
      <c r="J5" s="528" t="s">
        <v>25</v>
      </c>
      <c r="K5" s="1144"/>
      <c r="L5" s="1144"/>
      <c r="M5" s="1144"/>
      <c r="N5" s="1144"/>
      <c r="O5" s="1144"/>
      <c r="P5" s="1144"/>
      <c r="Q5" s="1144"/>
      <c r="R5" s="1144"/>
      <c r="S5" s="1150"/>
      <c r="T5" s="1150"/>
      <c r="U5" s="637"/>
    </row>
    <row r="6" spans="1:21" ht="14.4" thickBot="1" x14ac:dyDescent="0.3">
      <c r="A6" s="529">
        <v>1</v>
      </c>
      <c r="B6" s="57">
        <v>2</v>
      </c>
      <c r="C6" s="57">
        <v>3</v>
      </c>
      <c r="D6" s="57">
        <v>4</v>
      </c>
      <c r="E6" s="57">
        <v>5</v>
      </c>
      <c r="F6" s="57">
        <v>6</v>
      </c>
      <c r="G6" s="57">
        <v>7</v>
      </c>
      <c r="H6" s="57">
        <v>8</v>
      </c>
      <c r="I6" s="57">
        <v>9</v>
      </c>
      <c r="J6" s="57">
        <v>10</v>
      </c>
      <c r="K6" s="57">
        <v>11</v>
      </c>
      <c r="L6" s="57">
        <v>12</v>
      </c>
      <c r="M6" s="57">
        <v>13</v>
      </c>
      <c r="N6" s="57">
        <v>14</v>
      </c>
      <c r="O6" s="57">
        <v>15</v>
      </c>
      <c r="P6" s="57">
        <v>16</v>
      </c>
      <c r="Q6" s="57">
        <v>17</v>
      </c>
      <c r="R6" s="57">
        <v>18</v>
      </c>
      <c r="S6" s="57">
        <v>19</v>
      </c>
      <c r="T6" s="57">
        <v>20</v>
      </c>
      <c r="U6" s="58">
        <v>21</v>
      </c>
    </row>
    <row r="7" spans="1:21" x14ac:dyDescent="0.25">
      <c r="A7" s="709" t="s">
        <v>3240</v>
      </c>
      <c r="B7" s="1157" t="s">
        <v>3241</v>
      </c>
      <c r="C7" s="695">
        <v>0</v>
      </c>
      <c r="D7" s="695">
        <v>0.222</v>
      </c>
      <c r="E7" s="694">
        <v>1.0920000000000001</v>
      </c>
      <c r="F7" s="712">
        <v>8674</v>
      </c>
      <c r="G7" s="695" t="s">
        <v>51</v>
      </c>
      <c r="H7" s="430"/>
      <c r="I7" s="431"/>
      <c r="J7" s="431"/>
      <c r="K7" s="431"/>
      <c r="L7" s="431"/>
      <c r="M7" s="431"/>
      <c r="N7" s="431"/>
      <c r="O7" s="431"/>
      <c r="P7" s="431"/>
      <c r="Q7" s="431"/>
      <c r="R7" s="345">
        <v>70900040264</v>
      </c>
      <c r="S7" s="695" t="s">
        <v>3242</v>
      </c>
      <c r="T7" s="714" t="s">
        <v>215</v>
      </c>
      <c r="U7" s="664" t="s">
        <v>241</v>
      </c>
    </row>
    <row r="8" spans="1:21" ht="14.4" customHeight="1" x14ac:dyDescent="0.25">
      <c r="A8" s="709"/>
      <c r="B8" s="1157"/>
      <c r="C8" s="998"/>
      <c r="D8" s="998"/>
      <c r="E8" s="695"/>
      <c r="F8" s="712"/>
      <c r="G8" s="998"/>
      <c r="H8" s="432"/>
      <c r="I8" s="433"/>
      <c r="J8" s="433"/>
      <c r="K8" s="433"/>
      <c r="L8" s="433"/>
      <c r="M8" s="433"/>
      <c r="N8" s="433"/>
      <c r="O8" s="433"/>
      <c r="P8" s="433"/>
      <c r="Q8" s="433"/>
      <c r="R8" s="49">
        <v>70900040337</v>
      </c>
      <c r="S8" s="695"/>
      <c r="T8" s="714"/>
      <c r="U8" s="724"/>
    </row>
    <row r="9" spans="1:21" ht="15" customHeight="1" thickBot="1" x14ac:dyDescent="0.3">
      <c r="A9" s="710"/>
      <c r="B9" s="1158"/>
      <c r="C9" s="46">
        <v>0.222</v>
      </c>
      <c r="D9" s="46">
        <v>1.0920000000000001</v>
      </c>
      <c r="E9" s="696"/>
      <c r="F9" s="713"/>
      <c r="G9" s="46" t="s">
        <v>32</v>
      </c>
      <c r="H9" s="434"/>
      <c r="I9" s="435"/>
      <c r="J9" s="435"/>
      <c r="K9" s="435"/>
      <c r="L9" s="435"/>
      <c r="M9" s="435"/>
      <c r="N9" s="435"/>
      <c r="O9" s="435"/>
      <c r="P9" s="435"/>
      <c r="Q9" s="435"/>
      <c r="R9" s="47" t="s">
        <v>3243</v>
      </c>
      <c r="S9" s="696"/>
      <c r="T9" s="663"/>
      <c r="U9" s="665"/>
    </row>
    <row r="10" spans="1:21" x14ac:dyDescent="0.25">
      <c r="A10" s="715" t="s">
        <v>3244</v>
      </c>
      <c r="B10" s="1156" t="s">
        <v>247</v>
      </c>
      <c r="C10" s="694">
        <v>0</v>
      </c>
      <c r="D10" s="694">
        <v>0.58599999999999997</v>
      </c>
      <c r="E10" s="694">
        <v>0.58599999999999997</v>
      </c>
      <c r="F10" s="723">
        <v>4658</v>
      </c>
      <c r="G10" s="694" t="s">
        <v>32</v>
      </c>
      <c r="H10" s="436"/>
      <c r="I10" s="437"/>
      <c r="J10" s="437"/>
      <c r="K10" s="437"/>
      <c r="L10" s="437"/>
      <c r="M10" s="437"/>
      <c r="N10" s="437"/>
      <c r="O10" s="437"/>
      <c r="P10" s="437"/>
      <c r="Q10" s="437"/>
      <c r="R10" s="44">
        <v>70900040263</v>
      </c>
      <c r="S10" s="694" t="s">
        <v>3242</v>
      </c>
      <c r="T10" s="662" t="s">
        <v>215</v>
      </c>
      <c r="U10" s="664" t="s">
        <v>241</v>
      </c>
    </row>
    <row r="11" spans="1:21" ht="14.4" customHeight="1" x14ac:dyDescent="0.25">
      <c r="A11" s="709"/>
      <c r="B11" s="1157"/>
      <c r="C11" s="695"/>
      <c r="D11" s="695"/>
      <c r="E11" s="695"/>
      <c r="F11" s="712"/>
      <c r="G11" s="695"/>
      <c r="H11" s="438"/>
      <c r="I11" s="433"/>
      <c r="J11" s="433"/>
      <c r="K11" s="433"/>
      <c r="L11" s="433"/>
      <c r="M11" s="433"/>
      <c r="N11" s="433"/>
      <c r="O11" s="433"/>
      <c r="P11" s="433"/>
      <c r="Q11" s="433"/>
      <c r="R11" s="49">
        <v>70900040404</v>
      </c>
      <c r="S11" s="695"/>
      <c r="T11" s="714"/>
      <c r="U11" s="724"/>
    </row>
    <row r="12" spans="1:21" ht="15" customHeight="1" thickBot="1" x14ac:dyDescent="0.3">
      <c r="A12" s="710"/>
      <c r="B12" s="1158"/>
      <c r="C12" s="696"/>
      <c r="D12" s="696"/>
      <c r="E12" s="696"/>
      <c r="F12" s="713"/>
      <c r="G12" s="696"/>
      <c r="H12" s="38"/>
      <c r="I12" s="435"/>
      <c r="J12" s="435"/>
      <c r="K12" s="435"/>
      <c r="L12" s="435"/>
      <c r="M12" s="435"/>
      <c r="N12" s="435"/>
      <c r="O12" s="435"/>
      <c r="P12" s="435"/>
      <c r="Q12" s="435"/>
      <c r="R12" s="47">
        <v>70900040264</v>
      </c>
      <c r="S12" s="696"/>
      <c r="T12" s="663"/>
      <c r="U12" s="665"/>
    </row>
    <row r="13" spans="1:21" ht="24.6" thickBot="1" x14ac:dyDescent="0.3">
      <c r="A13" s="40" t="s">
        <v>3245</v>
      </c>
      <c r="B13" s="439" t="s">
        <v>3246</v>
      </c>
      <c r="C13" s="41">
        <v>0</v>
      </c>
      <c r="D13" s="41">
        <v>0.17499999999999999</v>
      </c>
      <c r="E13" s="41">
        <v>0.17499999999999999</v>
      </c>
      <c r="F13" s="4">
        <v>1398</v>
      </c>
      <c r="G13" s="41" t="s">
        <v>51</v>
      </c>
      <c r="H13" s="440"/>
      <c r="I13" s="441"/>
      <c r="J13" s="441"/>
      <c r="K13" s="441"/>
      <c r="L13" s="441"/>
      <c r="M13" s="441"/>
      <c r="N13" s="441"/>
      <c r="O13" s="441"/>
      <c r="P13" s="441"/>
      <c r="Q13" s="441"/>
      <c r="R13" s="4">
        <v>70900070184</v>
      </c>
      <c r="S13" s="41" t="s">
        <v>3247</v>
      </c>
      <c r="T13" s="3" t="s">
        <v>215</v>
      </c>
      <c r="U13" s="5"/>
    </row>
    <row r="14" spans="1:21" x14ac:dyDescent="0.25">
      <c r="A14" s="715" t="s">
        <v>3248</v>
      </c>
      <c r="B14" s="1156" t="s">
        <v>373</v>
      </c>
      <c r="C14" s="43">
        <v>0</v>
      </c>
      <c r="D14" s="43">
        <v>0.26700000000000002</v>
      </c>
      <c r="E14" s="694">
        <v>0.29599999999999999</v>
      </c>
      <c r="F14" s="723">
        <v>1183</v>
      </c>
      <c r="G14" s="694" t="s">
        <v>51</v>
      </c>
      <c r="H14" s="36"/>
      <c r="I14" s="43"/>
      <c r="J14" s="43"/>
      <c r="K14" s="43"/>
      <c r="L14" s="43"/>
      <c r="M14" s="43"/>
      <c r="N14" s="43"/>
      <c r="O14" s="43"/>
      <c r="P14" s="43"/>
      <c r="Q14" s="43"/>
      <c r="R14" s="44">
        <v>70900070185</v>
      </c>
      <c r="S14" s="694" t="s">
        <v>3247</v>
      </c>
      <c r="T14" s="662" t="s">
        <v>215</v>
      </c>
      <c r="U14" s="35"/>
    </row>
    <row r="15" spans="1:21" ht="15" customHeight="1" thickBot="1" x14ac:dyDescent="0.3">
      <c r="A15" s="710"/>
      <c r="B15" s="1158"/>
      <c r="C15" s="46">
        <v>0.26700000000000002</v>
      </c>
      <c r="D15" s="46">
        <v>0.29599999999999999</v>
      </c>
      <c r="E15" s="696"/>
      <c r="F15" s="713"/>
      <c r="G15" s="696"/>
      <c r="H15" s="38"/>
      <c r="I15" s="46"/>
      <c r="J15" s="46"/>
      <c r="K15" s="46"/>
      <c r="L15" s="46"/>
      <c r="M15" s="46"/>
      <c r="N15" s="46"/>
      <c r="O15" s="46"/>
      <c r="P15" s="46"/>
      <c r="Q15" s="46"/>
      <c r="R15" s="47" t="s">
        <v>3249</v>
      </c>
      <c r="S15" s="696"/>
      <c r="T15" s="663"/>
      <c r="U15" s="21"/>
    </row>
    <row r="16" spans="1:21" x14ac:dyDescent="0.25">
      <c r="A16" s="715" t="s">
        <v>3250</v>
      </c>
      <c r="B16" s="1156" t="s">
        <v>221</v>
      </c>
      <c r="C16" s="43">
        <v>0</v>
      </c>
      <c r="D16" s="43">
        <v>3.3000000000000002E-2</v>
      </c>
      <c r="E16" s="694">
        <v>0.16500000000000001</v>
      </c>
      <c r="F16" s="723">
        <v>659</v>
      </c>
      <c r="G16" s="694" t="s">
        <v>32</v>
      </c>
      <c r="H16" s="442"/>
      <c r="I16" s="437"/>
      <c r="J16" s="437"/>
      <c r="K16" s="437"/>
      <c r="L16" s="437"/>
      <c r="M16" s="437"/>
      <c r="N16" s="437"/>
      <c r="O16" s="437"/>
      <c r="P16" s="437"/>
      <c r="Q16" s="437"/>
      <c r="R16" s="44" t="s">
        <v>3251</v>
      </c>
      <c r="S16" s="694" t="s">
        <v>3247</v>
      </c>
      <c r="T16" s="662" t="s">
        <v>215</v>
      </c>
      <c r="U16" s="35"/>
    </row>
    <row r="17" spans="1:21" ht="14.4" customHeight="1" x14ac:dyDescent="0.25">
      <c r="A17" s="709"/>
      <c r="B17" s="1157"/>
      <c r="C17" s="48">
        <v>3.3000000000000002E-2</v>
      </c>
      <c r="D17" s="48">
        <v>9.0999999999999998E-2</v>
      </c>
      <c r="E17" s="695"/>
      <c r="F17" s="712"/>
      <c r="G17" s="695"/>
      <c r="H17" s="433"/>
      <c r="I17" s="433"/>
      <c r="J17" s="433"/>
      <c r="K17" s="433"/>
      <c r="L17" s="433"/>
      <c r="M17" s="433"/>
      <c r="N17" s="433"/>
      <c r="O17" s="433"/>
      <c r="P17" s="433"/>
      <c r="Q17" s="433"/>
      <c r="R17" s="49" t="s">
        <v>3252</v>
      </c>
      <c r="S17" s="695"/>
      <c r="T17" s="714"/>
      <c r="U17" s="15"/>
    </row>
    <row r="18" spans="1:21" ht="15" customHeight="1" thickBot="1" x14ac:dyDescent="0.3">
      <c r="A18" s="710"/>
      <c r="B18" s="1158"/>
      <c r="C18" s="46">
        <v>9.0999999999999998E-2</v>
      </c>
      <c r="D18" s="46">
        <v>0.16500000000000001</v>
      </c>
      <c r="E18" s="696"/>
      <c r="F18" s="713"/>
      <c r="G18" s="696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7">
        <v>70900070209</v>
      </c>
      <c r="S18" s="696"/>
      <c r="T18" s="663"/>
      <c r="U18" s="21"/>
    </row>
    <row r="19" spans="1:21" ht="24" customHeight="1" x14ac:dyDescent="0.25">
      <c r="A19" s="715" t="s">
        <v>3253</v>
      </c>
      <c r="B19" s="1156" t="s">
        <v>3254</v>
      </c>
      <c r="C19" s="694">
        <v>0.41399999999999998</v>
      </c>
      <c r="D19" s="694">
        <v>0.41399999999999998</v>
      </c>
      <c r="E19" s="694">
        <v>0.41399999999999998</v>
      </c>
      <c r="F19" s="723">
        <v>2482</v>
      </c>
      <c r="G19" s="694" t="s">
        <v>51</v>
      </c>
      <c r="H19" s="694" t="s">
        <v>3255</v>
      </c>
      <c r="I19" s="694"/>
      <c r="J19" s="694" t="s">
        <v>3256</v>
      </c>
      <c r="K19" s="694">
        <v>8</v>
      </c>
      <c r="L19" s="694">
        <v>70.2</v>
      </c>
      <c r="M19" s="694"/>
      <c r="N19" s="694"/>
      <c r="O19" s="694" t="s">
        <v>3257</v>
      </c>
      <c r="P19" s="694">
        <v>336.6</v>
      </c>
      <c r="Q19" s="694">
        <v>187</v>
      </c>
      <c r="R19" s="723">
        <v>70900040339</v>
      </c>
      <c r="S19" s="694" t="s">
        <v>3242</v>
      </c>
      <c r="T19" s="662" t="s">
        <v>215</v>
      </c>
      <c r="U19" s="35"/>
    </row>
    <row r="20" spans="1:21" ht="14.4" thickBot="1" x14ac:dyDescent="0.3">
      <c r="A20" s="710"/>
      <c r="B20" s="1158"/>
      <c r="C20" s="696"/>
      <c r="D20" s="696"/>
      <c r="E20" s="696"/>
      <c r="F20" s="713"/>
      <c r="G20" s="696"/>
      <c r="H20" s="696"/>
      <c r="I20" s="696"/>
      <c r="J20" s="696"/>
      <c r="K20" s="696"/>
      <c r="L20" s="696"/>
      <c r="M20" s="696"/>
      <c r="N20" s="696"/>
      <c r="O20" s="696"/>
      <c r="P20" s="696"/>
      <c r="Q20" s="696"/>
      <c r="R20" s="713"/>
      <c r="S20" s="696"/>
      <c r="T20" s="663"/>
      <c r="U20" s="21"/>
    </row>
    <row r="21" spans="1:21" ht="24.6" thickBot="1" x14ac:dyDescent="0.3">
      <c r="A21" s="40" t="s">
        <v>3258</v>
      </c>
      <c r="B21" s="439" t="s">
        <v>3259</v>
      </c>
      <c r="C21" s="41">
        <v>0</v>
      </c>
      <c r="D21" s="41">
        <v>0.56799999999999995</v>
      </c>
      <c r="E21" s="41">
        <v>0.56799999999999995</v>
      </c>
      <c r="F21" s="4">
        <v>3409</v>
      </c>
      <c r="G21" s="41" t="s">
        <v>51</v>
      </c>
      <c r="H21" s="440"/>
      <c r="I21" s="441"/>
      <c r="J21" s="441"/>
      <c r="K21" s="441"/>
      <c r="L21" s="441"/>
      <c r="M21" s="441"/>
      <c r="N21" s="441"/>
      <c r="O21" s="441"/>
      <c r="P21" s="441">
        <v>318.39999999999998</v>
      </c>
      <c r="Q21" s="441">
        <v>187.3</v>
      </c>
      <c r="R21" s="4">
        <v>70900040337</v>
      </c>
      <c r="S21" s="41" t="s">
        <v>3242</v>
      </c>
      <c r="T21" s="3" t="s">
        <v>215</v>
      </c>
      <c r="U21" s="5"/>
    </row>
    <row r="22" spans="1:21" ht="24.6" thickBot="1" x14ac:dyDescent="0.3">
      <c r="A22" s="69" t="s">
        <v>3260</v>
      </c>
      <c r="B22" s="23" t="s">
        <v>3261</v>
      </c>
      <c r="C22" s="41">
        <v>0</v>
      </c>
      <c r="D22" s="41">
        <v>3.6949999999999998</v>
      </c>
      <c r="E22" s="41">
        <v>3.6949999999999998</v>
      </c>
      <c r="F22" s="4">
        <v>22174</v>
      </c>
      <c r="G22" s="3" t="s">
        <v>32</v>
      </c>
      <c r="H22" s="440"/>
      <c r="I22" s="443"/>
      <c r="J22" s="443"/>
      <c r="K22" s="443"/>
      <c r="L22" s="443"/>
      <c r="M22" s="443"/>
      <c r="N22" s="443"/>
      <c r="O22" s="443"/>
      <c r="P22" s="443"/>
      <c r="Q22" s="443"/>
      <c r="R22" s="3">
        <v>70900030100</v>
      </c>
      <c r="S22" s="41"/>
      <c r="T22" s="3" t="s">
        <v>215</v>
      </c>
      <c r="U22" s="5" t="s">
        <v>241</v>
      </c>
    </row>
    <row r="23" spans="1:21" x14ac:dyDescent="0.25">
      <c r="A23" s="847" t="s">
        <v>3262</v>
      </c>
      <c r="B23" s="651" t="s">
        <v>3263</v>
      </c>
      <c r="C23" s="43">
        <v>0</v>
      </c>
      <c r="D23" s="43">
        <v>1.6</v>
      </c>
      <c r="E23" s="694">
        <v>3.9750000000000001</v>
      </c>
      <c r="F23" s="723">
        <v>15899</v>
      </c>
      <c r="G23" s="662" t="s">
        <v>32</v>
      </c>
      <c r="H23" s="36"/>
      <c r="I23" s="444"/>
      <c r="J23" s="444"/>
      <c r="K23" s="444"/>
      <c r="L23" s="444"/>
      <c r="M23" s="444"/>
      <c r="N23" s="444"/>
      <c r="O23" s="444"/>
      <c r="P23" s="444"/>
      <c r="Q23" s="444"/>
      <c r="R23" s="33">
        <v>70900060075</v>
      </c>
      <c r="S23" s="43"/>
      <c r="T23" s="662" t="s">
        <v>215</v>
      </c>
      <c r="U23" s="35"/>
    </row>
    <row r="24" spans="1:21" ht="15" customHeight="1" thickBot="1" x14ac:dyDescent="0.3">
      <c r="A24" s="849"/>
      <c r="B24" s="652"/>
      <c r="C24" s="46">
        <v>1.6</v>
      </c>
      <c r="D24" s="46">
        <v>3.9750000000000001</v>
      </c>
      <c r="E24" s="696"/>
      <c r="F24" s="713"/>
      <c r="G24" s="663"/>
      <c r="H24" s="38"/>
      <c r="I24" s="445"/>
      <c r="J24" s="445"/>
      <c r="K24" s="445"/>
      <c r="L24" s="445"/>
      <c r="M24" s="445"/>
      <c r="N24" s="445"/>
      <c r="O24" s="445"/>
      <c r="P24" s="445"/>
      <c r="Q24" s="445"/>
      <c r="R24" s="20">
        <v>70900070170</v>
      </c>
      <c r="S24" s="46"/>
      <c r="T24" s="663"/>
      <c r="U24" s="21"/>
    </row>
    <row r="25" spans="1:21" ht="24.6" thickBot="1" x14ac:dyDescent="0.3">
      <c r="A25" s="69" t="s">
        <v>3264</v>
      </c>
      <c r="B25" s="23" t="s">
        <v>3265</v>
      </c>
      <c r="C25" s="41">
        <v>0</v>
      </c>
      <c r="D25" s="41">
        <v>1.722</v>
      </c>
      <c r="E25" s="41">
        <v>1.722</v>
      </c>
      <c r="F25" s="4">
        <v>6889</v>
      </c>
      <c r="G25" s="3" t="s">
        <v>32</v>
      </c>
      <c r="H25" s="39"/>
      <c r="I25" s="443"/>
      <c r="J25" s="443"/>
      <c r="K25" s="443"/>
      <c r="L25" s="443"/>
      <c r="M25" s="443"/>
      <c r="N25" s="443"/>
      <c r="O25" s="443"/>
      <c r="P25" s="443"/>
      <c r="Q25" s="443"/>
      <c r="R25" s="3">
        <v>70900020125</v>
      </c>
      <c r="S25" s="446"/>
      <c r="T25" s="3" t="s">
        <v>215</v>
      </c>
      <c r="U25" s="5"/>
    </row>
    <row r="26" spans="1:21" ht="24.6" thickBot="1" x14ac:dyDescent="0.3">
      <c r="A26" s="69" t="s">
        <v>3266</v>
      </c>
      <c r="B26" s="23" t="s">
        <v>3267</v>
      </c>
      <c r="C26" s="41">
        <v>0</v>
      </c>
      <c r="D26" s="41">
        <v>2.3410000000000002</v>
      </c>
      <c r="E26" s="41">
        <v>2.3410000000000002</v>
      </c>
      <c r="F26" s="4">
        <v>9365</v>
      </c>
      <c r="G26" s="3" t="s">
        <v>32</v>
      </c>
      <c r="H26" s="39"/>
      <c r="I26" s="3"/>
      <c r="J26" s="3"/>
      <c r="K26" s="3"/>
      <c r="L26" s="3"/>
      <c r="M26" s="3"/>
      <c r="N26" s="3"/>
      <c r="O26" s="3"/>
      <c r="P26" s="3"/>
      <c r="Q26" s="3"/>
      <c r="R26" s="3">
        <v>70900040333</v>
      </c>
      <c r="S26" s="41"/>
      <c r="T26" s="3" t="s">
        <v>215</v>
      </c>
      <c r="U26" s="5"/>
    </row>
    <row r="27" spans="1:21" ht="24.6" thickBot="1" x14ac:dyDescent="0.3">
      <c r="A27" s="69" t="s">
        <v>3268</v>
      </c>
      <c r="B27" s="23" t="s">
        <v>3269</v>
      </c>
      <c r="C27" s="41">
        <v>0</v>
      </c>
      <c r="D27" s="41">
        <v>1.8879999999999999</v>
      </c>
      <c r="E27" s="41">
        <v>1.8879999999999999</v>
      </c>
      <c r="F27" s="4">
        <v>11327</v>
      </c>
      <c r="G27" s="3" t="s">
        <v>32</v>
      </c>
      <c r="H27" s="39"/>
      <c r="I27" s="41"/>
      <c r="J27" s="41"/>
      <c r="K27" s="41"/>
      <c r="L27" s="41"/>
      <c r="M27" s="41"/>
      <c r="N27" s="41"/>
      <c r="O27" s="41"/>
      <c r="P27" s="41"/>
      <c r="Q27" s="41"/>
      <c r="R27" s="3">
        <v>70900040232</v>
      </c>
      <c r="S27" s="41"/>
      <c r="T27" s="3" t="s">
        <v>215</v>
      </c>
      <c r="U27" s="5"/>
    </row>
    <row r="28" spans="1:21" x14ac:dyDescent="0.25">
      <c r="A28" s="847" t="s">
        <v>3270</v>
      </c>
      <c r="B28" s="651" t="s">
        <v>3271</v>
      </c>
      <c r="C28" s="43">
        <v>0</v>
      </c>
      <c r="D28" s="43">
        <v>2.7949999999999999</v>
      </c>
      <c r="E28" s="694">
        <v>4.782</v>
      </c>
      <c r="F28" s="723">
        <v>28693</v>
      </c>
      <c r="G28" s="662" t="s">
        <v>32</v>
      </c>
      <c r="H28" s="36"/>
      <c r="I28" s="43"/>
      <c r="J28" s="43"/>
      <c r="K28" s="43"/>
      <c r="L28" s="43"/>
      <c r="M28" s="43"/>
      <c r="N28" s="43"/>
      <c r="O28" s="43"/>
      <c r="P28" s="43"/>
      <c r="Q28" s="43"/>
      <c r="R28" s="33">
        <v>70900050114</v>
      </c>
      <c r="S28" s="43"/>
      <c r="T28" s="662" t="s">
        <v>215</v>
      </c>
      <c r="U28" s="35"/>
    </row>
    <row r="29" spans="1:21" ht="15" customHeight="1" thickBot="1" x14ac:dyDescent="0.3">
      <c r="A29" s="849"/>
      <c r="B29" s="652"/>
      <c r="C29" s="46">
        <v>2.7949999999999999</v>
      </c>
      <c r="D29" s="46">
        <v>4.782</v>
      </c>
      <c r="E29" s="696"/>
      <c r="F29" s="713"/>
      <c r="G29" s="663"/>
      <c r="H29" s="38"/>
      <c r="I29" s="46"/>
      <c r="J29" s="46"/>
      <c r="K29" s="46"/>
      <c r="L29" s="46"/>
      <c r="M29" s="46"/>
      <c r="N29" s="46"/>
      <c r="O29" s="46"/>
      <c r="P29" s="46"/>
      <c r="Q29" s="46"/>
      <c r="R29" s="20">
        <v>70900090168</v>
      </c>
      <c r="S29" s="46"/>
      <c r="T29" s="663"/>
      <c r="U29" s="21"/>
    </row>
    <row r="30" spans="1:21" x14ac:dyDescent="0.25">
      <c r="A30" s="847" t="s">
        <v>3272</v>
      </c>
      <c r="B30" s="651" t="s">
        <v>3273</v>
      </c>
      <c r="C30" s="43">
        <v>0</v>
      </c>
      <c r="D30" s="48">
        <v>2.347</v>
      </c>
      <c r="E30" s="694">
        <v>10.343999999999999</v>
      </c>
      <c r="F30" s="723">
        <v>62062</v>
      </c>
      <c r="G30" s="662" t="s">
        <v>32</v>
      </c>
      <c r="H30" s="36"/>
      <c r="I30" s="43"/>
      <c r="J30" s="43"/>
      <c r="K30" s="43"/>
      <c r="L30" s="43"/>
      <c r="M30" s="43"/>
      <c r="N30" s="43"/>
      <c r="O30" s="43"/>
      <c r="P30" s="43"/>
      <c r="Q30" s="43"/>
      <c r="R30" s="33">
        <v>70900090128</v>
      </c>
      <c r="S30" s="43"/>
      <c r="T30" s="641" t="s">
        <v>215</v>
      </c>
      <c r="U30" s="642" t="s">
        <v>241</v>
      </c>
    </row>
    <row r="31" spans="1:21" ht="14.4" customHeight="1" x14ac:dyDescent="0.25">
      <c r="A31" s="848"/>
      <c r="B31" s="711"/>
      <c r="C31" s="48">
        <v>2.347</v>
      </c>
      <c r="D31" s="48">
        <v>4.0359999999999996</v>
      </c>
      <c r="E31" s="695"/>
      <c r="F31" s="712"/>
      <c r="G31" s="714"/>
      <c r="H31" s="37"/>
      <c r="I31" s="48"/>
      <c r="J31" s="48"/>
      <c r="K31" s="48"/>
      <c r="L31" s="48"/>
      <c r="M31" s="48"/>
      <c r="N31" s="48"/>
      <c r="O31" s="48"/>
      <c r="P31" s="48"/>
      <c r="Q31" s="48"/>
      <c r="R31" s="14">
        <v>70900090127</v>
      </c>
      <c r="S31" s="48"/>
      <c r="T31" s="633"/>
      <c r="U31" s="636"/>
    </row>
    <row r="32" spans="1:21" ht="14.4" customHeight="1" x14ac:dyDescent="0.25">
      <c r="A32" s="848"/>
      <c r="B32" s="711"/>
      <c r="C32" s="48">
        <v>4.0359999999999996</v>
      </c>
      <c r="D32" s="48">
        <v>9.9540000000000006</v>
      </c>
      <c r="E32" s="695"/>
      <c r="F32" s="712"/>
      <c r="G32" s="714"/>
      <c r="H32" s="37"/>
      <c r="I32" s="48"/>
      <c r="J32" s="48"/>
      <c r="K32" s="48"/>
      <c r="L32" s="48"/>
      <c r="M32" s="48"/>
      <c r="N32" s="48"/>
      <c r="O32" s="48"/>
      <c r="P32" s="48"/>
      <c r="Q32" s="48"/>
      <c r="R32" s="14">
        <v>70900110096</v>
      </c>
      <c r="S32" s="48"/>
      <c r="T32" s="633"/>
      <c r="U32" s="636"/>
    </row>
    <row r="33" spans="1:21" ht="14.4" customHeight="1" x14ac:dyDescent="0.25">
      <c r="A33" s="848"/>
      <c r="B33" s="711"/>
      <c r="C33" s="48">
        <v>9.9540000000000006</v>
      </c>
      <c r="D33" s="48">
        <v>10.089</v>
      </c>
      <c r="E33" s="695"/>
      <c r="F33" s="712"/>
      <c r="G33" s="714"/>
      <c r="H33" s="37"/>
      <c r="I33" s="48"/>
      <c r="J33" s="48"/>
      <c r="K33" s="48"/>
      <c r="L33" s="48"/>
      <c r="M33" s="48"/>
      <c r="N33" s="48"/>
      <c r="O33" s="48"/>
      <c r="P33" s="48"/>
      <c r="Q33" s="48"/>
      <c r="R33" s="14">
        <v>70900110097</v>
      </c>
      <c r="S33" s="48"/>
      <c r="T33" s="633"/>
      <c r="U33" s="636"/>
    </row>
    <row r="34" spans="1:21" ht="15" customHeight="1" thickBot="1" x14ac:dyDescent="0.3">
      <c r="A34" s="849"/>
      <c r="B34" s="652"/>
      <c r="C34" s="46">
        <v>10.089</v>
      </c>
      <c r="D34" s="68">
        <v>10.343999999999999</v>
      </c>
      <c r="E34" s="696"/>
      <c r="F34" s="713"/>
      <c r="G34" s="663"/>
      <c r="H34" s="38"/>
      <c r="I34" s="46"/>
      <c r="J34" s="46"/>
      <c r="K34" s="46"/>
      <c r="L34" s="46"/>
      <c r="M34" s="46"/>
      <c r="N34" s="46"/>
      <c r="O34" s="46"/>
      <c r="P34" s="46"/>
      <c r="Q34" s="46"/>
      <c r="R34" s="20">
        <v>70900070186</v>
      </c>
      <c r="S34" s="46"/>
      <c r="T34" s="634"/>
      <c r="U34" s="637"/>
    </row>
    <row r="35" spans="1:21" ht="68.400000000000006" customHeight="1" x14ac:dyDescent="0.25">
      <c r="A35" s="847" t="s">
        <v>3274</v>
      </c>
      <c r="B35" s="651" t="s">
        <v>3275</v>
      </c>
      <c r="C35" s="43">
        <v>0</v>
      </c>
      <c r="D35" s="43">
        <v>2.8159999999999998</v>
      </c>
      <c r="E35" s="694">
        <v>5.7190000000000003</v>
      </c>
      <c r="F35" s="723">
        <v>34311</v>
      </c>
      <c r="G35" s="662" t="s">
        <v>32</v>
      </c>
      <c r="H35" s="36"/>
      <c r="I35" s="43"/>
      <c r="J35" s="43"/>
      <c r="K35" s="43"/>
      <c r="L35" s="43"/>
      <c r="M35" s="43"/>
      <c r="N35" s="43"/>
      <c r="O35" s="43"/>
      <c r="P35" s="43"/>
      <c r="Q35" s="43"/>
      <c r="R35" s="33">
        <v>70900070173</v>
      </c>
      <c r="S35" s="43"/>
      <c r="T35" s="641" t="s">
        <v>215</v>
      </c>
      <c r="U35" s="642" t="s">
        <v>241</v>
      </c>
    </row>
    <row r="36" spans="1:21" ht="14.4" customHeight="1" x14ac:dyDescent="0.25">
      <c r="A36" s="848"/>
      <c r="B36" s="711"/>
      <c r="C36" s="48">
        <v>2.8159999999999998</v>
      </c>
      <c r="D36" s="48">
        <v>4.7359999999999998</v>
      </c>
      <c r="E36" s="695"/>
      <c r="F36" s="712"/>
      <c r="G36" s="714"/>
      <c r="H36" s="37"/>
      <c r="I36" s="48"/>
      <c r="J36" s="48"/>
      <c r="K36" s="48"/>
      <c r="L36" s="48"/>
      <c r="M36" s="48"/>
      <c r="N36" s="48"/>
      <c r="O36" s="48"/>
      <c r="P36" s="48"/>
      <c r="Q36" s="48"/>
      <c r="R36" s="14">
        <v>70900040266</v>
      </c>
      <c r="S36" s="48"/>
      <c r="T36" s="633"/>
      <c r="U36" s="636"/>
    </row>
    <row r="37" spans="1:21" ht="15" customHeight="1" thickBot="1" x14ac:dyDescent="0.3">
      <c r="A37" s="849"/>
      <c r="B37" s="652"/>
      <c r="C37" s="46">
        <v>4.7359999999999998</v>
      </c>
      <c r="D37" s="46">
        <v>5.7190000000000003</v>
      </c>
      <c r="E37" s="696"/>
      <c r="F37" s="713"/>
      <c r="G37" s="663"/>
      <c r="H37" s="38"/>
      <c r="I37" s="46"/>
      <c r="J37" s="46"/>
      <c r="K37" s="46"/>
      <c r="L37" s="46"/>
      <c r="M37" s="46"/>
      <c r="N37" s="46"/>
      <c r="O37" s="46"/>
      <c r="P37" s="46"/>
      <c r="Q37" s="46"/>
      <c r="R37" s="20">
        <v>70900040332</v>
      </c>
      <c r="S37" s="46"/>
      <c r="T37" s="634"/>
      <c r="U37" s="637"/>
    </row>
    <row r="38" spans="1:21" ht="55.95" customHeight="1" x14ac:dyDescent="0.25">
      <c r="A38" s="847" t="s">
        <v>3276</v>
      </c>
      <c r="B38" s="651" t="s">
        <v>3277</v>
      </c>
      <c r="C38" s="43">
        <v>0</v>
      </c>
      <c r="D38" s="43">
        <v>2.2320000000000002</v>
      </c>
      <c r="E38" s="694">
        <v>4.09</v>
      </c>
      <c r="F38" s="723">
        <v>24540</v>
      </c>
      <c r="G38" s="662" t="s">
        <v>32</v>
      </c>
      <c r="H38" s="36"/>
      <c r="I38" s="43"/>
      <c r="J38" s="43"/>
      <c r="K38" s="43"/>
      <c r="L38" s="43"/>
      <c r="M38" s="43"/>
      <c r="N38" s="43"/>
      <c r="O38" s="43"/>
      <c r="P38" s="43"/>
      <c r="Q38" s="43"/>
      <c r="R38" s="33">
        <v>70900080089</v>
      </c>
      <c r="S38" s="43"/>
      <c r="T38" s="641" t="s">
        <v>215</v>
      </c>
      <c r="U38" s="642" t="s">
        <v>241</v>
      </c>
    </row>
    <row r="39" spans="1:21" ht="15" customHeight="1" thickBot="1" x14ac:dyDescent="0.3">
      <c r="A39" s="849"/>
      <c r="B39" s="652"/>
      <c r="C39" s="46">
        <v>2.2320000000000002</v>
      </c>
      <c r="D39" s="46">
        <v>4.09</v>
      </c>
      <c r="E39" s="696"/>
      <c r="F39" s="713"/>
      <c r="G39" s="663"/>
      <c r="H39" s="38"/>
      <c r="I39" s="46"/>
      <c r="J39" s="46"/>
      <c r="K39" s="46"/>
      <c r="L39" s="46"/>
      <c r="M39" s="46"/>
      <c r="N39" s="46"/>
      <c r="O39" s="46"/>
      <c r="P39" s="46"/>
      <c r="Q39" s="46"/>
      <c r="R39" s="20">
        <v>70900070207</v>
      </c>
      <c r="S39" s="46"/>
      <c r="T39" s="634"/>
      <c r="U39" s="637"/>
    </row>
    <row r="40" spans="1:21" ht="24.6" thickBot="1" x14ac:dyDescent="0.3">
      <c r="A40" s="69" t="s">
        <v>3278</v>
      </c>
      <c r="B40" s="23" t="s">
        <v>3279</v>
      </c>
      <c r="C40" s="41">
        <v>0</v>
      </c>
      <c r="D40" s="41">
        <v>1.204</v>
      </c>
      <c r="E40" s="41">
        <v>1.204</v>
      </c>
      <c r="F40" s="4">
        <v>7223</v>
      </c>
      <c r="G40" s="3" t="s">
        <v>32</v>
      </c>
      <c r="H40" s="39"/>
      <c r="I40" s="41"/>
      <c r="J40" s="41"/>
      <c r="K40" s="41"/>
      <c r="L40" s="41"/>
      <c r="M40" s="41"/>
      <c r="N40" s="41"/>
      <c r="O40" s="41"/>
      <c r="P40" s="41"/>
      <c r="Q40" s="41"/>
      <c r="R40" s="3">
        <v>70900070201</v>
      </c>
      <c r="S40" s="41"/>
      <c r="T40" s="3" t="s">
        <v>215</v>
      </c>
      <c r="U40" s="5"/>
    </row>
    <row r="41" spans="1:21" ht="83.4" customHeight="1" x14ac:dyDescent="0.25">
      <c r="A41" s="847" t="s">
        <v>3280</v>
      </c>
      <c r="B41" s="651" t="s">
        <v>3281</v>
      </c>
      <c r="C41" s="43">
        <v>0</v>
      </c>
      <c r="D41" s="43">
        <v>2.0310000000000001</v>
      </c>
      <c r="E41" s="694">
        <v>3.6739999999999999</v>
      </c>
      <c r="F41" s="723">
        <v>7359</v>
      </c>
      <c r="G41" s="662" t="s">
        <v>32</v>
      </c>
      <c r="H41" s="36"/>
      <c r="I41" s="43"/>
      <c r="J41" s="43"/>
      <c r="K41" s="43"/>
      <c r="L41" s="43"/>
      <c r="M41" s="43"/>
      <c r="N41" s="43"/>
      <c r="O41" s="43"/>
      <c r="P41" s="43"/>
      <c r="Q41" s="43"/>
      <c r="R41" s="33">
        <v>70900070171</v>
      </c>
      <c r="S41" s="43"/>
      <c r="T41" s="641" t="s">
        <v>215</v>
      </c>
      <c r="U41" s="642" t="s">
        <v>241</v>
      </c>
    </row>
    <row r="42" spans="1:21" ht="15" customHeight="1" thickBot="1" x14ac:dyDescent="0.3">
      <c r="A42" s="849"/>
      <c r="B42" s="652"/>
      <c r="C42" s="46">
        <v>2.0310000000000001</v>
      </c>
      <c r="D42" s="46">
        <v>3.6739999999999999</v>
      </c>
      <c r="E42" s="696"/>
      <c r="F42" s="713"/>
      <c r="G42" s="663"/>
      <c r="H42" s="38"/>
      <c r="I42" s="46"/>
      <c r="J42" s="46"/>
      <c r="K42" s="46"/>
      <c r="L42" s="46"/>
      <c r="M42" s="46"/>
      <c r="N42" s="46"/>
      <c r="O42" s="46"/>
      <c r="P42" s="46"/>
      <c r="Q42" s="46"/>
      <c r="R42" s="20">
        <v>70900060076</v>
      </c>
      <c r="S42" s="46"/>
      <c r="T42" s="634"/>
      <c r="U42" s="637"/>
    </row>
    <row r="43" spans="1:21" ht="30" customHeight="1" x14ac:dyDescent="0.25">
      <c r="A43" s="847" t="s">
        <v>3282</v>
      </c>
      <c r="B43" s="651" t="s">
        <v>3283</v>
      </c>
      <c r="C43" s="43">
        <v>0</v>
      </c>
      <c r="D43" s="43">
        <v>2.875</v>
      </c>
      <c r="E43" s="694">
        <v>4.6970000000000001</v>
      </c>
      <c r="F43" s="723">
        <v>28161</v>
      </c>
      <c r="G43" s="662" t="s">
        <v>32</v>
      </c>
      <c r="H43" s="36"/>
      <c r="I43" s="43"/>
      <c r="J43" s="43"/>
      <c r="K43" s="43"/>
      <c r="L43" s="43"/>
      <c r="M43" s="43"/>
      <c r="N43" s="43"/>
      <c r="O43" s="43"/>
      <c r="P43" s="43"/>
      <c r="Q43" s="43"/>
      <c r="R43" s="33">
        <v>70900090167</v>
      </c>
      <c r="S43" s="43"/>
      <c r="T43" s="641" t="s">
        <v>215</v>
      </c>
      <c r="U43" s="642" t="s">
        <v>241</v>
      </c>
    </row>
    <row r="44" spans="1:21" ht="14.4" customHeight="1" x14ac:dyDescent="0.25">
      <c r="A44" s="848"/>
      <c r="B44" s="711"/>
      <c r="C44" s="48">
        <v>2.875</v>
      </c>
      <c r="D44" s="48">
        <v>2.9620000000000002</v>
      </c>
      <c r="E44" s="695"/>
      <c r="F44" s="712"/>
      <c r="G44" s="714"/>
      <c r="H44" s="37"/>
      <c r="I44" s="48"/>
      <c r="J44" s="48"/>
      <c r="K44" s="48"/>
      <c r="L44" s="48"/>
      <c r="M44" s="48"/>
      <c r="N44" s="48"/>
      <c r="O44" s="48"/>
      <c r="P44" s="48"/>
      <c r="Q44" s="48"/>
      <c r="R44" s="14" t="s">
        <v>3284</v>
      </c>
      <c r="S44" s="48"/>
      <c r="T44" s="633"/>
      <c r="U44" s="636"/>
    </row>
    <row r="45" spans="1:21" ht="14.4" customHeight="1" x14ac:dyDescent="0.25">
      <c r="A45" s="848"/>
      <c r="B45" s="711"/>
      <c r="C45" s="48">
        <v>2.9620000000000002</v>
      </c>
      <c r="D45" s="48">
        <v>4.3630000000000004</v>
      </c>
      <c r="E45" s="695"/>
      <c r="F45" s="712"/>
      <c r="G45" s="714"/>
      <c r="H45" s="37"/>
      <c r="I45" s="48"/>
      <c r="J45" s="48"/>
      <c r="K45" s="48"/>
      <c r="L45" s="48"/>
      <c r="M45" s="48"/>
      <c r="N45" s="48"/>
      <c r="O45" s="48"/>
      <c r="P45" s="48"/>
      <c r="Q45" s="48"/>
      <c r="R45" s="14">
        <v>70900110105</v>
      </c>
      <c r="S45" s="48"/>
      <c r="T45" s="633"/>
      <c r="U45" s="636"/>
    </row>
    <row r="46" spans="1:21" ht="15" customHeight="1" thickBot="1" x14ac:dyDescent="0.3">
      <c r="A46" s="849"/>
      <c r="B46" s="652"/>
      <c r="C46" s="46">
        <v>4.3630000000000004</v>
      </c>
      <c r="D46" s="68">
        <v>4.6970000000000001</v>
      </c>
      <c r="E46" s="696"/>
      <c r="F46" s="713"/>
      <c r="G46" s="663"/>
      <c r="H46" s="38"/>
      <c r="I46" s="46"/>
      <c r="J46" s="46"/>
      <c r="K46" s="46"/>
      <c r="L46" s="46"/>
      <c r="M46" s="46"/>
      <c r="N46" s="46"/>
      <c r="O46" s="46"/>
      <c r="P46" s="46"/>
      <c r="Q46" s="46"/>
      <c r="R46" s="20" t="s">
        <v>3285</v>
      </c>
      <c r="S46" s="46"/>
      <c r="T46" s="634"/>
      <c r="U46" s="637"/>
    </row>
    <row r="47" spans="1:21" ht="28.2" customHeight="1" x14ac:dyDescent="0.25">
      <c r="A47" s="847" t="s">
        <v>3286</v>
      </c>
      <c r="B47" s="651" t="s">
        <v>3287</v>
      </c>
      <c r="C47" s="43">
        <v>0</v>
      </c>
      <c r="D47" s="43">
        <v>2.012</v>
      </c>
      <c r="E47" s="694">
        <v>2.657</v>
      </c>
      <c r="F47" s="723">
        <v>15908</v>
      </c>
      <c r="G47" s="662" t="s">
        <v>32</v>
      </c>
      <c r="H47" s="36"/>
      <c r="I47" s="43"/>
      <c r="J47" s="43"/>
      <c r="K47" s="43"/>
      <c r="L47" s="43"/>
      <c r="M47" s="43"/>
      <c r="N47" s="43"/>
      <c r="O47" s="43"/>
      <c r="P47" s="43"/>
      <c r="Q47" s="43"/>
      <c r="R47" s="33">
        <v>70900080087</v>
      </c>
      <c r="S47" s="43"/>
      <c r="T47" s="641" t="s">
        <v>215</v>
      </c>
      <c r="U47" s="642"/>
    </row>
    <row r="48" spans="1:21" ht="15" customHeight="1" thickBot="1" x14ac:dyDescent="0.3">
      <c r="A48" s="849"/>
      <c r="B48" s="652"/>
      <c r="C48" s="46">
        <v>2.012</v>
      </c>
      <c r="D48" s="46">
        <v>2.657</v>
      </c>
      <c r="E48" s="696"/>
      <c r="F48" s="713"/>
      <c r="G48" s="663"/>
      <c r="H48" s="38"/>
      <c r="I48" s="46"/>
      <c r="J48" s="46"/>
      <c r="K48" s="46"/>
      <c r="L48" s="46"/>
      <c r="M48" s="46"/>
      <c r="N48" s="46"/>
      <c r="O48" s="46"/>
      <c r="P48" s="46"/>
      <c r="Q48" s="46"/>
      <c r="R48" s="20" t="s">
        <v>3288</v>
      </c>
      <c r="S48" s="46"/>
      <c r="T48" s="634"/>
      <c r="U48" s="637"/>
    </row>
    <row r="49" spans="1:21" x14ac:dyDescent="0.25">
      <c r="A49" s="847" t="s">
        <v>3289</v>
      </c>
      <c r="B49" s="651" t="s">
        <v>3290</v>
      </c>
      <c r="C49" s="43">
        <v>0</v>
      </c>
      <c r="D49" s="43">
        <v>0.98299999999999998</v>
      </c>
      <c r="E49" s="694">
        <v>2.0990000000000002</v>
      </c>
      <c r="F49" s="723">
        <v>12595</v>
      </c>
      <c r="G49" s="662" t="s">
        <v>32</v>
      </c>
      <c r="H49" s="36"/>
      <c r="I49" s="43"/>
      <c r="J49" s="43"/>
      <c r="K49" s="43"/>
      <c r="L49" s="43"/>
      <c r="M49" s="43"/>
      <c r="N49" s="43"/>
      <c r="O49" s="43"/>
      <c r="P49" s="43"/>
      <c r="Q49" s="43"/>
      <c r="R49" s="33">
        <v>70900020124</v>
      </c>
      <c r="S49" s="43"/>
      <c r="T49" s="662" t="s">
        <v>215</v>
      </c>
      <c r="U49" s="35"/>
    </row>
    <row r="50" spans="1:21" ht="15" customHeight="1" thickBot="1" x14ac:dyDescent="0.3">
      <c r="A50" s="849"/>
      <c r="B50" s="652"/>
      <c r="C50" s="46">
        <v>0.98299999999999998</v>
      </c>
      <c r="D50" s="46">
        <v>2.0990000000000002</v>
      </c>
      <c r="E50" s="696"/>
      <c r="F50" s="713"/>
      <c r="G50" s="663"/>
      <c r="H50" s="38"/>
      <c r="I50" s="46"/>
      <c r="J50" s="46"/>
      <c r="K50" s="46"/>
      <c r="L50" s="46"/>
      <c r="M50" s="46"/>
      <c r="N50" s="46"/>
      <c r="O50" s="46"/>
      <c r="P50" s="46"/>
      <c r="Q50" s="46"/>
      <c r="R50" s="20">
        <v>70900050102</v>
      </c>
      <c r="S50" s="46"/>
      <c r="T50" s="663"/>
      <c r="U50" s="21"/>
    </row>
    <row r="51" spans="1:21" x14ac:dyDescent="0.25">
      <c r="A51" s="847" t="s">
        <v>3291</v>
      </c>
      <c r="B51" s="651" t="s">
        <v>3292</v>
      </c>
      <c r="C51" s="43">
        <v>0</v>
      </c>
      <c r="D51" s="43">
        <v>3.427</v>
      </c>
      <c r="E51" s="694">
        <v>4.2709999999999999</v>
      </c>
      <c r="F51" s="723">
        <v>25628</v>
      </c>
      <c r="G51" s="662" t="s">
        <v>32</v>
      </c>
      <c r="H51" s="36"/>
      <c r="I51" s="43"/>
      <c r="J51" s="43"/>
      <c r="K51" s="43"/>
      <c r="L51" s="43"/>
      <c r="M51" s="43"/>
      <c r="N51" s="43"/>
      <c r="O51" s="43"/>
      <c r="P51" s="43"/>
      <c r="Q51" s="43"/>
      <c r="R51" s="33">
        <v>70900010028</v>
      </c>
      <c r="S51" s="43"/>
      <c r="T51" s="662" t="s">
        <v>215</v>
      </c>
      <c r="U51" s="447"/>
    </row>
    <row r="52" spans="1:21" ht="15" customHeight="1" thickBot="1" x14ac:dyDescent="0.3">
      <c r="A52" s="849"/>
      <c r="B52" s="652"/>
      <c r="C52" s="46">
        <v>3.427</v>
      </c>
      <c r="D52" s="46">
        <v>4.2709999999999999</v>
      </c>
      <c r="E52" s="696"/>
      <c r="F52" s="713"/>
      <c r="G52" s="663"/>
      <c r="H52" s="38"/>
      <c r="I52" s="46"/>
      <c r="J52" s="46"/>
      <c r="K52" s="46"/>
      <c r="L52" s="46"/>
      <c r="M52" s="46"/>
      <c r="N52" s="46"/>
      <c r="O52" s="46"/>
      <c r="P52" s="46"/>
      <c r="Q52" s="46"/>
      <c r="R52" s="20">
        <v>70900020155</v>
      </c>
      <c r="S52" s="46"/>
      <c r="T52" s="663"/>
      <c r="U52" s="448"/>
    </row>
    <row r="53" spans="1:21" x14ac:dyDescent="0.25">
      <c r="A53" s="847" t="s">
        <v>3293</v>
      </c>
      <c r="B53" s="651" t="s">
        <v>3294</v>
      </c>
      <c r="C53" s="43">
        <v>0</v>
      </c>
      <c r="D53" s="43">
        <v>0.58299999999999996</v>
      </c>
      <c r="E53" s="694">
        <v>2.585</v>
      </c>
      <c r="F53" s="723">
        <v>15508</v>
      </c>
      <c r="G53" s="662" t="s">
        <v>32</v>
      </c>
      <c r="H53" s="36"/>
      <c r="I53" s="43"/>
      <c r="J53" s="43"/>
      <c r="K53" s="43"/>
      <c r="L53" s="43"/>
      <c r="M53" s="43"/>
      <c r="N53" s="43"/>
      <c r="O53" s="43"/>
      <c r="P53" s="43"/>
      <c r="Q53" s="43"/>
      <c r="R53" s="33">
        <v>70900040350</v>
      </c>
      <c r="S53" s="43"/>
      <c r="T53" s="662" t="s">
        <v>215</v>
      </c>
      <c r="U53" s="35"/>
    </row>
    <row r="54" spans="1:21" ht="14.4" customHeight="1" x14ac:dyDescent="0.25">
      <c r="A54" s="848"/>
      <c r="B54" s="711"/>
      <c r="C54" s="48">
        <v>0.58299999999999996</v>
      </c>
      <c r="D54" s="48">
        <v>0.67500000000000004</v>
      </c>
      <c r="E54" s="695"/>
      <c r="F54" s="712"/>
      <c r="G54" s="714"/>
      <c r="H54" s="37"/>
      <c r="I54" s="48"/>
      <c r="J54" s="48"/>
      <c r="K54" s="48"/>
      <c r="L54" s="48"/>
      <c r="M54" s="48"/>
      <c r="N54" s="48"/>
      <c r="O54" s="48"/>
      <c r="P54" s="48"/>
      <c r="Q54" s="48"/>
      <c r="R54" s="14" t="s">
        <v>3295</v>
      </c>
      <c r="S54" s="48"/>
      <c r="T54" s="714"/>
      <c r="U54" s="15"/>
    </row>
    <row r="55" spans="1:21" ht="15" customHeight="1" thickBot="1" x14ac:dyDescent="0.3">
      <c r="A55" s="849"/>
      <c r="B55" s="652"/>
      <c r="C55" s="46">
        <v>0.67500000000000004</v>
      </c>
      <c r="D55" s="68">
        <v>2.585</v>
      </c>
      <c r="E55" s="696"/>
      <c r="F55" s="713"/>
      <c r="G55" s="663"/>
      <c r="H55" s="38"/>
      <c r="I55" s="46"/>
      <c r="J55" s="46"/>
      <c r="K55" s="46"/>
      <c r="L55" s="46"/>
      <c r="M55" s="46"/>
      <c r="N55" s="46"/>
      <c r="O55" s="46"/>
      <c r="P55" s="46"/>
      <c r="Q55" s="46"/>
      <c r="R55" s="20">
        <v>70900090134</v>
      </c>
      <c r="S55" s="46"/>
      <c r="T55" s="663"/>
      <c r="U55" s="21"/>
    </row>
    <row r="56" spans="1:21" ht="24.6" thickBot="1" x14ac:dyDescent="0.3">
      <c r="A56" s="69" t="s">
        <v>3296</v>
      </c>
      <c r="B56" s="23" t="s">
        <v>3297</v>
      </c>
      <c r="C56" s="41">
        <v>0</v>
      </c>
      <c r="D56" s="41">
        <v>0.89600000000000002</v>
      </c>
      <c r="E56" s="41">
        <v>0.89600000000000002</v>
      </c>
      <c r="F56" s="4">
        <v>5377</v>
      </c>
      <c r="G56" s="3" t="s">
        <v>32</v>
      </c>
      <c r="H56" s="39"/>
      <c r="I56" s="41"/>
      <c r="J56" s="41"/>
      <c r="K56" s="41"/>
      <c r="L56" s="41"/>
      <c r="M56" s="41"/>
      <c r="N56" s="41"/>
      <c r="O56" s="41"/>
      <c r="P56" s="41"/>
      <c r="Q56" s="41"/>
      <c r="R56" s="3">
        <v>70900040334</v>
      </c>
      <c r="S56" s="41"/>
      <c r="T56" s="3" t="s">
        <v>215</v>
      </c>
      <c r="U56" s="5"/>
    </row>
    <row r="57" spans="1:21" ht="24.6" thickBot="1" x14ac:dyDescent="0.3">
      <c r="A57" s="69" t="s">
        <v>3298</v>
      </c>
      <c r="B57" s="23" t="s">
        <v>3299</v>
      </c>
      <c r="C57" s="41">
        <v>0</v>
      </c>
      <c r="D57" s="41">
        <v>3.16</v>
      </c>
      <c r="E57" s="41">
        <v>3.16</v>
      </c>
      <c r="F57" s="4">
        <v>18959</v>
      </c>
      <c r="G57" s="3" t="s">
        <v>32</v>
      </c>
      <c r="H57" s="39"/>
      <c r="I57" s="41"/>
      <c r="J57" s="41"/>
      <c r="K57" s="41"/>
      <c r="L57" s="41"/>
      <c r="M57" s="41"/>
      <c r="N57" s="41"/>
      <c r="O57" s="41"/>
      <c r="P57" s="41"/>
      <c r="Q57" s="41"/>
      <c r="R57" s="3">
        <v>70900090126</v>
      </c>
      <c r="S57" s="41"/>
      <c r="T57" s="3" t="s">
        <v>215</v>
      </c>
      <c r="U57" s="5"/>
    </row>
    <row r="58" spans="1:21" ht="28.2" customHeight="1" x14ac:dyDescent="0.25">
      <c r="A58" s="847" t="s">
        <v>3300</v>
      </c>
      <c r="B58" s="651" t="s">
        <v>3301</v>
      </c>
      <c r="C58" s="43">
        <v>0</v>
      </c>
      <c r="D58" s="43">
        <v>0.14799999999999999</v>
      </c>
      <c r="E58" s="694">
        <v>0.42</v>
      </c>
      <c r="F58" s="723">
        <v>2457</v>
      </c>
      <c r="G58" s="662" t="s">
        <v>51</v>
      </c>
      <c r="H58" s="36"/>
      <c r="I58" s="43"/>
      <c r="J58" s="43"/>
      <c r="K58" s="43"/>
      <c r="L58" s="43"/>
      <c r="M58" s="43"/>
      <c r="N58" s="43"/>
      <c r="O58" s="43"/>
      <c r="P58" s="43"/>
      <c r="Q58" s="43"/>
      <c r="R58" s="33">
        <v>70900040346</v>
      </c>
      <c r="S58" s="43"/>
      <c r="T58" s="641" t="s">
        <v>215</v>
      </c>
      <c r="U58" s="642" t="s">
        <v>241</v>
      </c>
    </row>
    <row r="59" spans="1:21" ht="15" customHeight="1" thickBot="1" x14ac:dyDescent="0.3">
      <c r="A59" s="849"/>
      <c r="B59" s="652"/>
      <c r="C59" s="46">
        <v>0.14799999999999999</v>
      </c>
      <c r="D59" s="46">
        <v>0.42</v>
      </c>
      <c r="E59" s="696"/>
      <c r="F59" s="713"/>
      <c r="G59" s="663"/>
      <c r="H59" s="38"/>
      <c r="I59" s="46"/>
      <c r="J59" s="46"/>
      <c r="K59" s="46"/>
      <c r="L59" s="46"/>
      <c r="M59" s="46"/>
      <c r="N59" s="46"/>
      <c r="O59" s="46"/>
      <c r="P59" s="46"/>
      <c r="Q59" s="46"/>
      <c r="R59" s="20" t="s">
        <v>3302</v>
      </c>
      <c r="S59" s="46"/>
      <c r="T59" s="634"/>
      <c r="U59" s="637"/>
    </row>
    <row r="60" spans="1:21" x14ac:dyDescent="0.25">
      <c r="A60" s="847" t="s">
        <v>3303</v>
      </c>
      <c r="B60" s="651" t="s">
        <v>3304</v>
      </c>
      <c r="C60" s="43">
        <v>0</v>
      </c>
      <c r="D60" s="43">
        <v>0.32500000000000001</v>
      </c>
      <c r="E60" s="694">
        <v>0.626</v>
      </c>
      <c r="F60" s="723">
        <v>2503</v>
      </c>
      <c r="G60" s="662" t="s">
        <v>32</v>
      </c>
      <c r="H60" s="36"/>
      <c r="I60" s="43"/>
      <c r="J60" s="43"/>
      <c r="K60" s="43"/>
      <c r="L60" s="43"/>
      <c r="M60" s="43"/>
      <c r="N60" s="43"/>
      <c r="O60" s="43"/>
      <c r="P60" s="43"/>
      <c r="Q60" s="43"/>
      <c r="R60" s="33">
        <v>70900050095</v>
      </c>
      <c r="S60" s="43"/>
      <c r="T60" s="662" t="s">
        <v>215</v>
      </c>
      <c r="U60" s="35"/>
    </row>
    <row r="61" spans="1:21" ht="14.4" customHeight="1" x14ac:dyDescent="0.25">
      <c r="A61" s="848"/>
      <c r="B61" s="711"/>
      <c r="C61" s="48">
        <v>0.32500000000000001</v>
      </c>
      <c r="D61" s="48">
        <v>0.57399999999999995</v>
      </c>
      <c r="E61" s="695"/>
      <c r="F61" s="712"/>
      <c r="G61" s="714"/>
      <c r="H61" s="37"/>
      <c r="I61" s="48"/>
      <c r="J61" s="48"/>
      <c r="K61" s="48"/>
      <c r="L61" s="48"/>
      <c r="M61" s="48"/>
      <c r="N61" s="48"/>
      <c r="O61" s="48"/>
      <c r="P61" s="48"/>
      <c r="Q61" s="48"/>
      <c r="R61" s="14" t="s">
        <v>3305</v>
      </c>
      <c r="S61" s="48"/>
      <c r="T61" s="714"/>
      <c r="U61" s="15"/>
    </row>
    <row r="62" spans="1:21" ht="15" customHeight="1" thickBot="1" x14ac:dyDescent="0.3">
      <c r="A62" s="849"/>
      <c r="B62" s="652"/>
      <c r="C62" s="46">
        <v>0.57399999999999995</v>
      </c>
      <c r="D62" s="68">
        <v>0.626</v>
      </c>
      <c r="E62" s="696"/>
      <c r="F62" s="713"/>
      <c r="G62" s="663"/>
      <c r="H62" s="38"/>
      <c r="I62" s="46"/>
      <c r="J62" s="46"/>
      <c r="K62" s="46"/>
      <c r="L62" s="46"/>
      <c r="M62" s="46"/>
      <c r="N62" s="46"/>
      <c r="O62" s="46"/>
      <c r="P62" s="46"/>
      <c r="Q62" s="46"/>
      <c r="R62" s="20" t="s">
        <v>3306</v>
      </c>
      <c r="S62" s="46"/>
      <c r="T62" s="663"/>
      <c r="U62" s="21"/>
    </row>
    <row r="63" spans="1:21" x14ac:dyDescent="0.25">
      <c r="A63" s="847" t="s">
        <v>3307</v>
      </c>
      <c r="B63" s="651" t="s">
        <v>3308</v>
      </c>
      <c r="C63" s="43">
        <v>0</v>
      </c>
      <c r="D63" s="43">
        <v>2.8879999999999999</v>
      </c>
      <c r="E63" s="694">
        <v>4.7210000000000001</v>
      </c>
      <c r="F63" s="723">
        <v>18884</v>
      </c>
      <c r="G63" s="662" t="s">
        <v>32</v>
      </c>
      <c r="H63" s="36"/>
      <c r="I63" s="43"/>
      <c r="J63" s="43"/>
      <c r="K63" s="43"/>
      <c r="L63" s="43"/>
      <c r="M63" s="43"/>
      <c r="N63" s="43"/>
      <c r="O63" s="43"/>
      <c r="P63" s="43"/>
      <c r="Q63" s="43"/>
      <c r="R63" s="33">
        <v>70900090166</v>
      </c>
      <c r="S63" s="43"/>
      <c r="T63" s="641" t="s">
        <v>215</v>
      </c>
      <c r="U63" s="642" t="s">
        <v>241</v>
      </c>
    </row>
    <row r="64" spans="1:21" ht="14.4" customHeight="1" x14ac:dyDescent="0.25">
      <c r="A64" s="848"/>
      <c r="B64" s="711"/>
      <c r="C64" s="48">
        <v>2.8879999999999999</v>
      </c>
      <c r="D64" s="48">
        <v>2.9820000000000002</v>
      </c>
      <c r="E64" s="695"/>
      <c r="F64" s="712"/>
      <c r="G64" s="714"/>
      <c r="H64" s="37"/>
      <c r="I64" s="48"/>
      <c r="J64" s="48"/>
      <c r="K64" s="48"/>
      <c r="L64" s="48"/>
      <c r="M64" s="48"/>
      <c r="N64" s="48"/>
      <c r="O64" s="48"/>
      <c r="P64" s="48"/>
      <c r="Q64" s="48"/>
      <c r="R64" s="14" t="s">
        <v>3284</v>
      </c>
      <c r="S64" s="48"/>
      <c r="T64" s="633"/>
      <c r="U64" s="636"/>
    </row>
    <row r="65" spans="1:21" ht="14.4" customHeight="1" x14ac:dyDescent="0.25">
      <c r="A65" s="848"/>
      <c r="B65" s="711"/>
      <c r="C65" s="48">
        <v>2.9820000000000002</v>
      </c>
      <c r="D65" s="48">
        <v>4.157</v>
      </c>
      <c r="E65" s="695"/>
      <c r="F65" s="712"/>
      <c r="G65" s="714"/>
      <c r="H65" s="37"/>
      <c r="I65" s="48"/>
      <c r="J65" s="48"/>
      <c r="K65" s="48"/>
      <c r="L65" s="48"/>
      <c r="M65" s="48"/>
      <c r="N65" s="48"/>
      <c r="O65" s="48"/>
      <c r="P65" s="48"/>
      <c r="Q65" s="48"/>
      <c r="R65" s="14">
        <v>70900080116</v>
      </c>
      <c r="S65" s="48"/>
      <c r="T65" s="633"/>
      <c r="U65" s="636"/>
    </row>
    <row r="66" spans="1:21" ht="15" customHeight="1" thickBot="1" x14ac:dyDescent="0.3">
      <c r="A66" s="849"/>
      <c r="B66" s="652"/>
      <c r="C66" s="46">
        <v>4.157</v>
      </c>
      <c r="D66" s="68">
        <v>4.7210000000000001</v>
      </c>
      <c r="E66" s="696"/>
      <c r="F66" s="713"/>
      <c r="G66" s="663"/>
      <c r="H66" s="38"/>
      <c r="I66" s="46"/>
      <c r="J66" s="46"/>
      <c r="K66" s="46"/>
      <c r="L66" s="46"/>
      <c r="M66" s="46"/>
      <c r="N66" s="46"/>
      <c r="O66" s="46"/>
      <c r="P66" s="46"/>
      <c r="Q66" s="46"/>
      <c r="R66" s="20">
        <v>70900040338</v>
      </c>
      <c r="S66" s="46"/>
      <c r="T66" s="634"/>
      <c r="U66" s="637"/>
    </row>
    <row r="67" spans="1:21" ht="24.6" thickBot="1" x14ac:dyDescent="0.3">
      <c r="A67" s="69" t="s">
        <v>3309</v>
      </c>
      <c r="B67" s="23" t="s">
        <v>3310</v>
      </c>
      <c r="C67" s="41">
        <v>0</v>
      </c>
      <c r="D67" s="41">
        <v>0.20799999999999999</v>
      </c>
      <c r="E67" s="41">
        <v>0.20799999999999999</v>
      </c>
      <c r="F67" s="4">
        <v>833</v>
      </c>
      <c r="G67" s="3" t="s">
        <v>32</v>
      </c>
      <c r="H67" s="39"/>
      <c r="I67" s="41"/>
      <c r="J67" s="41"/>
      <c r="K67" s="41"/>
      <c r="L67" s="41"/>
      <c r="M67" s="41"/>
      <c r="N67" s="41"/>
      <c r="O67" s="41"/>
      <c r="P67" s="41"/>
      <c r="Q67" s="41"/>
      <c r="R67" s="3">
        <v>70900070206</v>
      </c>
      <c r="S67" s="41"/>
      <c r="T67" s="3" t="s">
        <v>215</v>
      </c>
      <c r="U67" s="5"/>
    </row>
    <row r="68" spans="1:21" x14ac:dyDescent="0.25">
      <c r="A68" s="847" t="s">
        <v>3311</v>
      </c>
      <c r="B68" s="651" t="s">
        <v>3312</v>
      </c>
      <c r="C68" s="43">
        <v>0</v>
      </c>
      <c r="D68" s="43">
        <v>0.81799999999999995</v>
      </c>
      <c r="E68" s="694">
        <v>0.94799999999999995</v>
      </c>
      <c r="F68" s="723">
        <v>3791</v>
      </c>
      <c r="G68" s="662" t="s">
        <v>32</v>
      </c>
      <c r="H68" s="36"/>
      <c r="I68" s="43"/>
      <c r="J68" s="43"/>
      <c r="K68" s="43"/>
      <c r="L68" s="43"/>
      <c r="M68" s="43"/>
      <c r="N68" s="43"/>
      <c r="O68" s="43"/>
      <c r="P68" s="43"/>
      <c r="Q68" s="43"/>
      <c r="R68" s="84">
        <v>70900020161</v>
      </c>
      <c r="S68" s="43"/>
      <c r="T68" s="662" t="s">
        <v>215</v>
      </c>
      <c r="U68" s="35"/>
    </row>
    <row r="69" spans="1:21" ht="15" customHeight="1" thickBot="1" x14ac:dyDescent="0.3">
      <c r="A69" s="849"/>
      <c r="B69" s="652"/>
      <c r="C69" s="46">
        <v>0.81799999999999995</v>
      </c>
      <c r="D69" s="46">
        <v>0.94799999999999995</v>
      </c>
      <c r="E69" s="696"/>
      <c r="F69" s="713"/>
      <c r="G69" s="663"/>
      <c r="H69" s="38"/>
      <c r="I69" s="46"/>
      <c r="J69" s="46"/>
      <c r="K69" s="46"/>
      <c r="L69" s="46"/>
      <c r="M69" s="46"/>
      <c r="N69" s="46"/>
      <c r="O69" s="46"/>
      <c r="P69" s="46"/>
      <c r="Q69" s="46"/>
      <c r="R69" s="87" t="s">
        <v>3313</v>
      </c>
      <c r="S69" s="46"/>
      <c r="T69" s="663"/>
      <c r="U69" s="21"/>
    </row>
    <row r="70" spans="1:21" ht="76.95" customHeight="1" x14ac:dyDescent="0.25">
      <c r="A70" s="847" t="s">
        <v>3314</v>
      </c>
      <c r="B70" s="651" t="s">
        <v>3315</v>
      </c>
      <c r="C70" s="43">
        <v>0</v>
      </c>
      <c r="D70" s="43">
        <v>2.82</v>
      </c>
      <c r="E70" s="694">
        <v>3.839</v>
      </c>
      <c r="F70" s="723">
        <v>15356</v>
      </c>
      <c r="G70" s="662" t="s">
        <v>32</v>
      </c>
      <c r="H70" s="449"/>
      <c r="I70" s="450"/>
      <c r="J70" s="450"/>
      <c r="K70" s="450"/>
      <c r="L70" s="450"/>
      <c r="M70" s="450"/>
      <c r="N70" s="450"/>
      <c r="O70" s="450"/>
      <c r="P70" s="450"/>
      <c r="Q70" s="450"/>
      <c r="R70" s="33">
        <v>70900050101</v>
      </c>
      <c r="S70" s="33"/>
      <c r="T70" s="641" t="s">
        <v>215</v>
      </c>
      <c r="U70" s="642" t="s">
        <v>241</v>
      </c>
    </row>
    <row r="71" spans="1:21" ht="14.4" customHeight="1" x14ac:dyDescent="0.25">
      <c r="A71" s="848"/>
      <c r="B71" s="711"/>
      <c r="C71" s="48">
        <v>2.82</v>
      </c>
      <c r="D71" s="48">
        <v>3.2360000000000002</v>
      </c>
      <c r="E71" s="695"/>
      <c r="F71" s="712"/>
      <c r="G71" s="714"/>
      <c r="H71" s="451"/>
      <c r="I71" s="452"/>
      <c r="J71" s="452"/>
      <c r="K71" s="452"/>
      <c r="L71" s="452"/>
      <c r="M71" s="452"/>
      <c r="N71" s="452"/>
      <c r="O71" s="452"/>
      <c r="P71" s="452"/>
      <c r="Q71" s="452"/>
      <c r="R71" s="14" t="s">
        <v>3316</v>
      </c>
      <c r="S71" s="14"/>
      <c r="T71" s="633"/>
      <c r="U71" s="636"/>
    </row>
    <row r="72" spans="1:21" ht="15" customHeight="1" thickBot="1" x14ac:dyDescent="0.3">
      <c r="A72" s="849"/>
      <c r="B72" s="652"/>
      <c r="C72" s="46">
        <v>3.2360000000000002</v>
      </c>
      <c r="D72" s="46">
        <v>3.839</v>
      </c>
      <c r="E72" s="696"/>
      <c r="F72" s="713"/>
      <c r="G72" s="663"/>
      <c r="H72" s="453"/>
      <c r="I72" s="454"/>
      <c r="J72" s="454"/>
      <c r="K72" s="454"/>
      <c r="L72" s="454"/>
      <c r="M72" s="454"/>
      <c r="N72" s="454"/>
      <c r="O72" s="454"/>
      <c r="P72" s="454"/>
      <c r="Q72" s="454"/>
      <c r="R72" s="20">
        <v>70900050139</v>
      </c>
      <c r="S72" s="20"/>
      <c r="T72" s="634"/>
      <c r="U72" s="637"/>
    </row>
    <row r="73" spans="1:21" ht="58.2" customHeight="1" x14ac:dyDescent="0.25">
      <c r="A73" s="847" t="s">
        <v>3317</v>
      </c>
      <c r="B73" s="651" t="s">
        <v>3318</v>
      </c>
      <c r="C73" s="43">
        <v>0</v>
      </c>
      <c r="D73" s="43">
        <v>0.754</v>
      </c>
      <c r="E73" s="694">
        <v>3.3220000000000001</v>
      </c>
      <c r="F73" s="723">
        <v>19931</v>
      </c>
      <c r="G73" s="662" t="s">
        <v>32</v>
      </c>
      <c r="H73" s="36"/>
      <c r="I73" s="33"/>
      <c r="J73" s="33"/>
      <c r="K73" s="33"/>
      <c r="L73" s="33"/>
      <c r="M73" s="33"/>
      <c r="N73" s="33"/>
      <c r="O73" s="33"/>
      <c r="P73" s="33"/>
      <c r="Q73" s="33"/>
      <c r="R73" s="33">
        <v>70900070172</v>
      </c>
      <c r="S73" s="455"/>
      <c r="T73" s="641" t="s">
        <v>215</v>
      </c>
      <c r="U73" s="642" t="s">
        <v>241</v>
      </c>
    </row>
    <row r="74" spans="1:21" ht="14.4" customHeight="1" x14ac:dyDescent="0.25">
      <c r="A74" s="848"/>
      <c r="B74" s="711"/>
      <c r="C74" s="48">
        <v>0.754</v>
      </c>
      <c r="D74" s="48">
        <v>0.76500000000000001</v>
      </c>
      <c r="E74" s="695"/>
      <c r="F74" s="712"/>
      <c r="G74" s="714"/>
      <c r="H74" s="37"/>
      <c r="I74" s="14"/>
      <c r="J74" s="14"/>
      <c r="K74" s="14"/>
      <c r="L74" s="14"/>
      <c r="M74" s="14"/>
      <c r="N74" s="14"/>
      <c r="O74" s="14"/>
      <c r="P74" s="14"/>
      <c r="Q74" s="14"/>
      <c r="R74" s="14">
        <v>70900070171</v>
      </c>
      <c r="S74" s="456"/>
      <c r="T74" s="633"/>
      <c r="U74" s="636"/>
    </row>
    <row r="75" spans="1:21" ht="14.4" customHeight="1" x14ac:dyDescent="0.25">
      <c r="A75" s="848"/>
      <c r="B75" s="711"/>
      <c r="C75" s="48">
        <v>0.76500000000000001</v>
      </c>
      <c r="D75" s="48">
        <v>2.504</v>
      </c>
      <c r="E75" s="695"/>
      <c r="F75" s="712"/>
      <c r="G75" s="714"/>
      <c r="H75" s="37"/>
      <c r="I75" s="14"/>
      <c r="J75" s="14"/>
      <c r="K75" s="14"/>
      <c r="L75" s="14"/>
      <c r="M75" s="14"/>
      <c r="N75" s="14"/>
      <c r="O75" s="14"/>
      <c r="P75" s="14"/>
      <c r="Q75" s="14"/>
      <c r="R75" s="14">
        <v>70900070210</v>
      </c>
      <c r="S75" s="456"/>
      <c r="T75" s="633"/>
      <c r="U75" s="636"/>
    </row>
    <row r="76" spans="1:21" ht="15" customHeight="1" thickBot="1" x14ac:dyDescent="0.3">
      <c r="A76" s="849"/>
      <c r="B76" s="652"/>
      <c r="C76" s="46">
        <v>2.504</v>
      </c>
      <c r="D76" s="46">
        <v>3.3220000000000001</v>
      </c>
      <c r="E76" s="696"/>
      <c r="F76" s="713"/>
      <c r="G76" s="663"/>
      <c r="H76" s="38"/>
      <c r="I76" s="20"/>
      <c r="J76" s="20"/>
      <c r="K76" s="20"/>
      <c r="L76" s="20"/>
      <c r="M76" s="20"/>
      <c r="N76" s="20"/>
      <c r="O76" s="20"/>
      <c r="P76" s="20"/>
      <c r="Q76" s="20"/>
      <c r="R76" s="20">
        <v>70900030124</v>
      </c>
      <c r="S76" s="457"/>
      <c r="T76" s="634"/>
      <c r="U76" s="637"/>
    </row>
    <row r="77" spans="1:21" x14ac:dyDescent="0.25">
      <c r="A77" s="847" t="s">
        <v>3319</v>
      </c>
      <c r="B77" s="651" t="s">
        <v>3320</v>
      </c>
      <c r="C77" s="43">
        <v>0</v>
      </c>
      <c r="D77" s="43">
        <v>1.9830000000000001</v>
      </c>
      <c r="E77" s="694">
        <v>2.3010000000000002</v>
      </c>
      <c r="F77" s="723">
        <v>9205</v>
      </c>
      <c r="G77" s="662" t="s">
        <v>32</v>
      </c>
      <c r="H77" s="36"/>
      <c r="I77" s="33"/>
      <c r="J77" s="33"/>
      <c r="K77" s="33"/>
      <c r="L77" s="33"/>
      <c r="M77" s="33"/>
      <c r="N77" s="33"/>
      <c r="O77" s="33"/>
      <c r="P77" s="33"/>
      <c r="Q77" s="33"/>
      <c r="R77" s="33">
        <v>70900060078</v>
      </c>
      <c r="S77" s="753"/>
      <c r="T77" s="662" t="s">
        <v>215</v>
      </c>
      <c r="U77" s="35"/>
    </row>
    <row r="78" spans="1:21" ht="15" customHeight="1" thickBot="1" x14ac:dyDescent="0.3">
      <c r="A78" s="849"/>
      <c r="B78" s="652"/>
      <c r="C78" s="46">
        <v>1.9830000000000001</v>
      </c>
      <c r="D78" s="46">
        <v>2.3010000000000002</v>
      </c>
      <c r="E78" s="696"/>
      <c r="F78" s="713"/>
      <c r="G78" s="663"/>
      <c r="H78" s="38"/>
      <c r="I78" s="20"/>
      <c r="J78" s="20"/>
      <c r="K78" s="20"/>
      <c r="L78" s="20"/>
      <c r="M78" s="20"/>
      <c r="N78" s="20"/>
      <c r="O78" s="20"/>
      <c r="P78" s="20"/>
      <c r="Q78" s="20"/>
      <c r="R78" s="20">
        <v>70900030129</v>
      </c>
      <c r="S78" s="754"/>
      <c r="T78" s="663"/>
      <c r="U78" s="21"/>
    </row>
    <row r="79" spans="1:21" x14ac:dyDescent="0.25">
      <c r="A79" s="847" t="s">
        <v>3321</v>
      </c>
      <c r="B79" s="651" t="s">
        <v>3322</v>
      </c>
      <c r="C79" s="43">
        <v>0</v>
      </c>
      <c r="D79" s="43">
        <v>7.4999999999999997E-2</v>
      </c>
      <c r="E79" s="694">
        <v>1.9039999999999999</v>
      </c>
      <c r="F79" s="723">
        <v>7615</v>
      </c>
      <c r="G79" s="662" t="s">
        <v>32</v>
      </c>
      <c r="H79" s="36"/>
      <c r="I79" s="33"/>
      <c r="J79" s="33"/>
      <c r="K79" s="33"/>
      <c r="L79" s="33"/>
      <c r="M79" s="33"/>
      <c r="N79" s="33"/>
      <c r="O79" s="33"/>
      <c r="P79" s="33"/>
      <c r="Q79" s="33"/>
      <c r="R79" s="33" t="s">
        <v>3323</v>
      </c>
      <c r="S79" s="118"/>
      <c r="T79" s="662" t="s">
        <v>215</v>
      </c>
      <c r="U79" s="35"/>
    </row>
    <row r="80" spans="1:21" ht="14.4" customHeight="1" x14ac:dyDescent="0.25">
      <c r="A80" s="848"/>
      <c r="B80" s="711"/>
      <c r="C80" s="48">
        <v>7.4999999999999997E-2</v>
      </c>
      <c r="D80" s="48">
        <v>0.307</v>
      </c>
      <c r="E80" s="695"/>
      <c r="F80" s="712"/>
      <c r="G80" s="714"/>
      <c r="H80" s="37"/>
      <c r="I80" s="14"/>
      <c r="J80" s="14"/>
      <c r="K80" s="14"/>
      <c r="L80" s="14"/>
      <c r="M80" s="14"/>
      <c r="N80" s="14"/>
      <c r="O80" s="14"/>
      <c r="P80" s="14"/>
      <c r="Q80" s="14"/>
      <c r="R80" s="14">
        <v>70900030137</v>
      </c>
      <c r="S80" s="208"/>
      <c r="T80" s="714"/>
      <c r="U80" s="15"/>
    </row>
    <row r="81" spans="1:21" ht="14.4" customHeight="1" x14ac:dyDescent="0.25">
      <c r="A81" s="848"/>
      <c r="B81" s="711"/>
      <c r="C81" s="48">
        <v>0.307</v>
      </c>
      <c r="D81" s="48">
        <v>1.5129999999999999</v>
      </c>
      <c r="E81" s="695"/>
      <c r="F81" s="712"/>
      <c r="G81" s="714"/>
      <c r="H81" s="37"/>
      <c r="I81" s="14"/>
      <c r="J81" s="14"/>
      <c r="K81" s="14"/>
      <c r="L81" s="14"/>
      <c r="M81" s="14"/>
      <c r="N81" s="14"/>
      <c r="O81" s="14"/>
      <c r="P81" s="14"/>
      <c r="Q81" s="14"/>
      <c r="R81" s="14">
        <v>70900030125</v>
      </c>
      <c r="S81" s="458"/>
      <c r="T81" s="714"/>
      <c r="U81" s="15"/>
    </row>
    <row r="82" spans="1:21" ht="15" customHeight="1" thickBot="1" x14ac:dyDescent="0.3">
      <c r="A82" s="849"/>
      <c r="B82" s="652"/>
      <c r="C82" s="48">
        <v>1.5129999999999999</v>
      </c>
      <c r="D82" s="46">
        <v>1.9039999999999999</v>
      </c>
      <c r="E82" s="696"/>
      <c r="F82" s="713"/>
      <c r="G82" s="663"/>
      <c r="H82" s="38"/>
      <c r="I82" s="20"/>
      <c r="J82" s="20"/>
      <c r="K82" s="20"/>
      <c r="L82" s="20"/>
      <c r="M82" s="20"/>
      <c r="N82" s="20"/>
      <c r="O82" s="20"/>
      <c r="P82" s="20"/>
      <c r="Q82" s="20"/>
      <c r="R82" s="20">
        <v>70420060598</v>
      </c>
      <c r="S82" s="457"/>
      <c r="T82" s="663"/>
      <c r="U82" s="21"/>
    </row>
    <row r="83" spans="1:21" ht="24.6" thickBot="1" x14ac:dyDescent="0.3">
      <c r="A83" s="69" t="s">
        <v>3324</v>
      </c>
      <c r="B83" s="23" t="s">
        <v>3325</v>
      </c>
      <c r="C83" s="41">
        <v>0</v>
      </c>
      <c r="D83" s="41">
        <v>1.4239999999999999</v>
      </c>
      <c r="E83" s="41">
        <v>1.4239999999999999</v>
      </c>
      <c r="F83" s="4">
        <v>5695</v>
      </c>
      <c r="G83" s="3" t="s">
        <v>32</v>
      </c>
      <c r="H83" s="39"/>
      <c r="I83" s="3"/>
      <c r="J83" s="3"/>
      <c r="K83" s="3"/>
      <c r="L83" s="3"/>
      <c r="M83" s="3"/>
      <c r="N83" s="3"/>
      <c r="O83" s="3"/>
      <c r="P83" s="3"/>
      <c r="Q83" s="3"/>
      <c r="R83" s="3">
        <v>70900020132</v>
      </c>
      <c r="S83" s="459"/>
      <c r="T83" s="3" t="s">
        <v>215</v>
      </c>
      <c r="U83" s="5" t="s">
        <v>241</v>
      </c>
    </row>
    <row r="84" spans="1:21" ht="24" customHeight="1" x14ac:dyDescent="0.25">
      <c r="A84" s="847" t="s">
        <v>3326</v>
      </c>
      <c r="B84" s="651" t="s">
        <v>3327</v>
      </c>
      <c r="C84" s="43">
        <v>0</v>
      </c>
      <c r="D84" s="43">
        <v>0.41899999999999998</v>
      </c>
      <c r="E84" s="694">
        <v>0.75800000000000001</v>
      </c>
      <c r="F84" s="723">
        <v>3033</v>
      </c>
      <c r="G84" s="662" t="s">
        <v>32</v>
      </c>
      <c r="H84" s="36"/>
      <c r="I84" s="33"/>
      <c r="J84" s="33"/>
      <c r="K84" s="33"/>
      <c r="L84" s="33"/>
      <c r="M84" s="33"/>
      <c r="N84" s="33"/>
      <c r="O84" s="33"/>
      <c r="P84" s="33"/>
      <c r="Q84" s="33"/>
      <c r="R84" s="33">
        <v>70900020154</v>
      </c>
      <c r="S84" s="455"/>
      <c r="T84" s="662" t="s">
        <v>215</v>
      </c>
      <c r="U84" s="664" t="s">
        <v>241</v>
      </c>
    </row>
    <row r="85" spans="1:21" ht="15" customHeight="1" thickBot="1" x14ac:dyDescent="0.3">
      <c r="A85" s="849"/>
      <c r="B85" s="652"/>
      <c r="C85" s="46">
        <v>0.41899999999999998</v>
      </c>
      <c r="D85" s="46">
        <v>0.75800000000000001</v>
      </c>
      <c r="E85" s="696"/>
      <c r="F85" s="713"/>
      <c r="G85" s="663"/>
      <c r="H85" s="38"/>
      <c r="I85" s="20"/>
      <c r="J85" s="20"/>
      <c r="K85" s="20"/>
      <c r="L85" s="20"/>
      <c r="M85" s="20"/>
      <c r="N85" s="20"/>
      <c r="O85" s="20"/>
      <c r="P85" s="20"/>
      <c r="Q85" s="20"/>
      <c r="R85" s="20">
        <v>70270150082</v>
      </c>
      <c r="S85" s="457"/>
      <c r="T85" s="663"/>
      <c r="U85" s="665"/>
    </row>
    <row r="86" spans="1:21" x14ac:dyDescent="0.25">
      <c r="A86" s="847" t="s">
        <v>3328</v>
      </c>
      <c r="B86" s="651" t="s">
        <v>3329</v>
      </c>
      <c r="C86" s="43">
        <v>0</v>
      </c>
      <c r="D86" s="43">
        <v>1.137</v>
      </c>
      <c r="E86" s="694">
        <v>1.347</v>
      </c>
      <c r="F86" s="723">
        <v>5390</v>
      </c>
      <c r="G86" s="662" t="s">
        <v>32</v>
      </c>
      <c r="H86" s="36"/>
      <c r="I86" s="33"/>
      <c r="J86" s="33"/>
      <c r="K86" s="33"/>
      <c r="L86" s="33"/>
      <c r="M86" s="33"/>
      <c r="N86" s="33"/>
      <c r="O86" s="33"/>
      <c r="P86" s="33"/>
      <c r="Q86" s="33"/>
      <c r="R86" s="33">
        <v>70900090165</v>
      </c>
      <c r="S86" s="455"/>
      <c r="T86" s="662" t="s">
        <v>215</v>
      </c>
      <c r="U86" s="447"/>
    </row>
    <row r="87" spans="1:21" ht="15" customHeight="1" thickBot="1" x14ac:dyDescent="0.3">
      <c r="A87" s="849"/>
      <c r="B87" s="652"/>
      <c r="C87" s="46">
        <v>1.137</v>
      </c>
      <c r="D87" s="46">
        <v>1.347</v>
      </c>
      <c r="E87" s="696"/>
      <c r="F87" s="713"/>
      <c r="G87" s="663"/>
      <c r="H87" s="38"/>
      <c r="I87" s="20"/>
      <c r="J87" s="20"/>
      <c r="K87" s="20"/>
      <c r="L87" s="20"/>
      <c r="M87" s="20"/>
      <c r="N87" s="20"/>
      <c r="O87" s="20"/>
      <c r="P87" s="20"/>
      <c r="Q87" s="20"/>
      <c r="R87" s="20" t="s">
        <v>3330</v>
      </c>
      <c r="S87" s="457"/>
      <c r="T87" s="663"/>
      <c r="U87" s="448"/>
    </row>
    <row r="88" spans="1:21" x14ac:dyDescent="0.25">
      <c r="A88" s="847" t="s">
        <v>3331</v>
      </c>
      <c r="B88" s="651" t="s">
        <v>3332</v>
      </c>
      <c r="C88" s="43">
        <v>0</v>
      </c>
      <c r="D88" s="43">
        <v>2.1749999999999998</v>
      </c>
      <c r="E88" s="694">
        <v>4.5830000000000002</v>
      </c>
      <c r="F88" s="723">
        <v>18331</v>
      </c>
      <c r="G88" s="662" t="s">
        <v>32</v>
      </c>
      <c r="H88" s="36"/>
      <c r="I88" s="33"/>
      <c r="J88" s="33"/>
      <c r="K88" s="33"/>
      <c r="L88" s="33"/>
      <c r="M88" s="33"/>
      <c r="N88" s="33"/>
      <c r="O88" s="33"/>
      <c r="P88" s="33"/>
      <c r="Q88" s="33"/>
      <c r="R88" s="33">
        <v>70900090146</v>
      </c>
      <c r="S88" s="118"/>
      <c r="T88" s="662" t="s">
        <v>215</v>
      </c>
      <c r="U88" s="35"/>
    </row>
    <row r="89" spans="1:21" ht="14.4" customHeight="1" x14ac:dyDescent="0.25">
      <c r="A89" s="848"/>
      <c r="B89" s="711"/>
      <c r="C89" s="48">
        <v>2.1749999999999998</v>
      </c>
      <c r="D89" s="48">
        <v>3.0960000000000001</v>
      </c>
      <c r="E89" s="695"/>
      <c r="F89" s="712"/>
      <c r="G89" s="714"/>
      <c r="H89" s="37"/>
      <c r="I89" s="14"/>
      <c r="J89" s="14"/>
      <c r="K89" s="14"/>
      <c r="L89" s="14"/>
      <c r="M89" s="14"/>
      <c r="N89" s="14"/>
      <c r="O89" s="14"/>
      <c r="P89" s="14"/>
      <c r="Q89" s="14"/>
      <c r="R89" s="14">
        <v>70900110029</v>
      </c>
      <c r="S89" s="185"/>
      <c r="T89" s="714"/>
      <c r="U89" s="15"/>
    </row>
    <row r="90" spans="1:21" ht="14.4" customHeight="1" x14ac:dyDescent="0.25">
      <c r="A90" s="848"/>
      <c r="B90" s="711"/>
      <c r="C90" s="48">
        <v>3.0960000000000001</v>
      </c>
      <c r="D90" s="48">
        <v>3.4089999999999998</v>
      </c>
      <c r="E90" s="695"/>
      <c r="F90" s="712"/>
      <c r="G90" s="714"/>
      <c r="H90" s="37"/>
      <c r="I90" s="14"/>
      <c r="J90" s="14"/>
      <c r="K90" s="14"/>
      <c r="L90" s="14"/>
      <c r="M90" s="14"/>
      <c r="N90" s="14"/>
      <c r="O90" s="14"/>
      <c r="P90" s="14"/>
      <c r="Q90" s="14"/>
      <c r="R90" s="14" t="s">
        <v>3333</v>
      </c>
      <c r="S90" s="185"/>
      <c r="T90" s="714"/>
      <c r="U90" s="15"/>
    </row>
    <row r="91" spans="1:21" ht="15" customHeight="1" thickBot="1" x14ac:dyDescent="0.3">
      <c r="A91" s="849"/>
      <c r="B91" s="652"/>
      <c r="C91" s="46">
        <v>3.4089999999999998</v>
      </c>
      <c r="D91" s="46">
        <v>4.5830000000000002</v>
      </c>
      <c r="E91" s="696"/>
      <c r="F91" s="713"/>
      <c r="G91" s="663"/>
      <c r="H91" s="38"/>
      <c r="I91" s="20"/>
      <c r="J91" s="20"/>
      <c r="K91" s="20"/>
      <c r="L91" s="20"/>
      <c r="M91" s="20"/>
      <c r="N91" s="20"/>
      <c r="O91" s="20"/>
      <c r="P91" s="20"/>
      <c r="Q91" s="20"/>
      <c r="R91" s="20">
        <v>70900110095</v>
      </c>
      <c r="S91" s="98"/>
      <c r="T91" s="663"/>
      <c r="U91" s="21"/>
    </row>
    <row r="92" spans="1:21" x14ac:dyDescent="0.25">
      <c r="A92" s="847" t="s">
        <v>3334</v>
      </c>
      <c r="B92" s="651" t="s">
        <v>3335</v>
      </c>
      <c r="C92" s="43">
        <v>0</v>
      </c>
      <c r="D92" s="43">
        <v>0.23300000000000001</v>
      </c>
      <c r="E92" s="694">
        <v>0.41</v>
      </c>
      <c r="F92" s="723">
        <v>1640</v>
      </c>
      <c r="G92" s="662" t="s">
        <v>32</v>
      </c>
      <c r="H92" s="36"/>
      <c r="I92" s="33"/>
      <c r="J92" s="33"/>
      <c r="K92" s="33"/>
      <c r="L92" s="33"/>
      <c r="M92" s="33"/>
      <c r="N92" s="33"/>
      <c r="O92" s="33"/>
      <c r="P92" s="33"/>
      <c r="Q92" s="33"/>
      <c r="R92" s="33" t="s">
        <v>3336</v>
      </c>
      <c r="S92" s="455"/>
      <c r="T92" s="662" t="s">
        <v>215</v>
      </c>
      <c r="U92" s="35"/>
    </row>
    <row r="93" spans="1:21" ht="15" customHeight="1" thickBot="1" x14ac:dyDescent="0.3">
      <c r="A93" s="849"/>
      <c r="B93" s="652"/>
      <c r="C93" s="46">
        <v>0.23300000000000001</v>
      </c>
      <c r="D93" s="46">
        <v>0.41</v>
      </c>
      <c r="E93" s="696"/>
      <c r="F93" s="713"/>
      <c r="G93" s="663"/>
      <c r="H93" s="38"/>
      <c r="I93" s="20"/>
      <c r="J93" s="20"/>
      <c r="K93" s="20"/>
      <c r="L93" s="20"/>
      <c r="M93" s="20"/>
      <c r="N93" s="20"/>
      <c r="O93" s="20"/>
      <c r="P93" s="20"/>
      <c r="Q93" s="20"/>
      <c r="R93" s="20" t="s">
        <v>3337</v>
      </c>
      <c r="S93" s="457"/>
      <c r="T93" s="663"/>
      <c r="U93" s="21"/>
    </row>
    <row r="94" spans="1:21" ht="24.6" thickBot="1" x14ac:dyDescent="0.3">
      <c r="A94" s="69" t="s">
        <v>3338</v>
      </c>
      <c r="B94" s="23" t="s">
        <v>3339</v>
      </c>
      <c r="C94" s="41">
        <v>0</v>
      </c>
      <c r="D94" s="41">
        <v>0.70299999999999996</v>
      </c>
      <c r="E94" s="41">
        <v>0.70299999999999996</v>
      </c>
      <c r="F94" s="4">
        <v>2812</v>
      </c>
      <c r="G94" s="3" t="s">
        <v>32</v>
      </c>
      <c r="H94" s="39"/>
      <c r="I94" s="3"/>
      <c r="J94" s="3"/>
      <c r="K94" s="3"/>
      <c r="L94" s="3"/>
      <c r="M94" s="3"/>
      <c r="N94" s="3"/>
      <c r="O94" s="3"/>
      <c r="P94" s="3"/>
      <c r="Q94" s="3"/>
      <c r="R94" s="3">
        <v>70900090130</v>
      </c>
      <c r="S94" s="459"/>
      <c r="T94" s="3" t="s">
        <v>215</v>
      </c>
      <c r="U94" s="5"/>
    </row>
    <row r="96" spans="1:21" ht="24" x14ac:dyDescent="0.25">
      <c r="B96" s="61" t="s">
        <v>202</v>
      </c>
    </row>
    <row r="97" spans="1:32" ht="24" x14ac:dyDescent="0.25">
      <c r="B97" s="61" t="s">
        <v>203</v>
      </c>
    </row>
    <row r="98" spans="1:32" ht="24" x14ac:dyDescent="0.25">
      <c r="B98" s="61" t="s">
        <v>204</v>
      </c>
    </row>
    <row r="99" spans="1:32" ht="24" x14ac:dyDescent="0.25">
      <c r="B99" s="61" t="s">
        <v>205</v>
      </c>
    </row>
    <row r="101" spans="1:32" ht="27.6" customHeight="1" x14ac:dyDescent="0.25">
      <c r="A101" s="509"/>
      <c r="B101" s="509"/>
      <c r="C101" s="512" t="s">
        <v>3985</v>
      </c>
      <c r="D101" s="543" t="s">
        <v>3986</v>
      </c>
      <c r="E101" s="543"/>
      <c r="F101" s="543"/>
      <c r="G101" s="509"/>
      <c r="H101" s="509"/>
      <c r="I101" s="509"/>
      <c r="J101" s="509"/>
      <c r="K101" s="509"/>
      <c r="L101" s="509"/>
      <c r="M101" s="509"/>
      <c r="N101" s="509"/>
      <c r="O101" s="509"/>
      <c r="P101" s="509"/>
      <c r="Q101" s="509"/>
      <c r="R101" s="509"/>
      <c r="S101" s="509"/>
      <c r="T101" s="509"/>
      <c r="U101" s="509"/>
      <c r="V101" s="509"/>
      <c r="W101" s="509"/>
      <c r="X101" s="509"/>
      <c r="Y101" s="509"/>
      <c r="Z101" s="509"/>
      <c r="AA101" s="509"/>
      <c r="AB101" s="509"/>
      <c r="AC101" s="509"/>
      <c r="AD101" s="509"/>
      <c r="AE101" s="510"/>
      <c r="AF101" s="510"/>
    </row>
    <row r="102" spans="1:32" x14ac:dyDescent="0.25">
      <c r="A102" s="509"/>
      <c r="B102" s="509"/>
      <c r="C102" s="509"/>
      <c r="D102" s="509"/>
      <c r="E102" s="509"/>
      <c r="F102" s="509"/>
      <c r="G102" s="509"/>
      <c r="H102" s="509"/>
      <c r="I102" s="509"/>
      <c r="J102" s="509"/>
      <c r="K102" s="509"/>
      <c r="L102" s="509"/>
      <c r="M102" s="509"/>
      <c r="N102" s="509"/>
      <c r="O102" s="509"/>
      <c r="P102" s="509"/>
      <c r="Q102" s="509"/>
      <c r="R102" s="509"/>
      <c r="S102" s="509"/>
      <c r="T102" s="509"/>
      <c r="U102" s="509"/>
      <c r="V102" s="509"/>
      <c r="W102" s="509"/>
      <c r="X102" s="509"/>
      <c r="Y102" s="509"/>
      <c r="Z102" s="509"/>
      <c r="AA102" s="509"/>
      <c r="AB102" s="509"/>
      <c r="AC102" s="509"/>
      <c r="AD102" s="509"/>
      <c r="AE102" s="510"/>
      <c r="AF102" s="510"/>
    </row>
    <row r="103" spans="1:32" x14ac:dyDescent="0.25">
      <c r="A103" s="509"/>
      <c r="B103" s="509"/>
      <c r="C103" s="509"/>
      <c r="D103" s="509"/>
      <c r="E103" s="509"/>
      <c r="F103" s="509"/>
      <c r="G103" s="509"/>
      <c r="H103" s="509"/>
      <c r="I103" s="509"/>
      <c r="J103" s="509"/>
      <c r="K103" s="509"/>
      <c r="L103" s="509"/>
      <c r="M103" s="509"/>
      <c r="N103" s="509"/>
      <c r="O103" s="509"/>
      <c r="P103" s="509"/>
      <c r="Q103" s="509"/>
      <c r="R103" s="509"/>
      <c r="S103" s="509"/>
      <c r="T103" s="509"/>
      <c r="U103" s="509"/>
      <c r="V103" s="509"/>
      <c r="W103" s="509"/>
      <c r="X103" s="509"/>
      <c r="Y103" s="509"/>
      <c r="Z103" s="509"/>
      <c r="AA103" s="509"/>
      <c r="AB103" s="509"/>
      <c r="AC103" s="509"/>
      <c r="AD103" s="509"/>
      <c r="AE103" s="417"/>
      <c r="AF103" s="510"/>
    </row>
    <row r="104" spans="1:32" x14ac:dyDescent="0.25">
      <c r="B104" s="60"/>
      <c r="C104" s="438" t="s">
        <v>3989</v>
      </c>
      <c r="D104" s="544" t="s">
        <v>3990</v>
      </c>
      <c r="E104" s="544"/>
      <c r="F104" s="544"/>
      <c r="G104" s="544"/>
      <c r="H104" s="544"/>
      <c r="I104" s="544"/>
      <c r="S104" s="59"/>
      <c r="T104" s="60"/>
      <c r="U104" s="60"/>
    </row>
    <row r="105" spans="1:32" ht="13.95" customHeight="1" x14ac:dyDescent="0.25">
      <c r="B105" s="60"/>
      <c r="C105" s="438" t="s">
        <v>3987</v>
      </c>
      <c r="D105" s="553" t="s">
        <v>3988</v>
      </c>
      <c r="E105" s="553"/>
      <c r="F105" s="553"/>
      <c r="G105" s="553"/>
      <c r="H105" s="553"/>
      <c r="I105" s="553"/>
      <c r="S105" s="59"/>
      <c r="T105" s="60"/>
      <c r="U105" s="60"/>
    </row>
    <row r="106" spans="1:32" ht="14.4" customHeight="1" x14ac:dyDescent="0.25">
      <c r="S106" s="59"/>
      <c r="T106" s="60"/>
      <c r="U106" s="60"/>
    </row>
    <row r="107" spans="1:32" x14ac:dyDescent="0.25">
      <c r="A107" s="469"/>
      <c r="B107" s="743" t="s">
        <v>3984</v>
      </c>
      <c r="C107" s="743"/>
      <c r="D107" s="743"/>
      <c r="E107" s="743"/>
      <c r="F107" s="743"/>
      <c r="G107" s="743"/>
      <c r="H107" s="743"/>
      <c r="I107" s="743"/>
      <c r="S107" s="59"/>
      <c r="T107" s="304"/>
      <c r="U107" s="304"/>
    </row>
  </sheetData>
  <mergeCells count="233">
    <mergeCell ref="B107:I107"/>
    <mergeCell ref="A92:A93"/>
    <mergeCell ref="B92:B93"/>
    <mergeCell ref="E92:E93"/>
    <mergeCell ref="F92:F93"/>
    <mergeCell ref="G92:G93"/>
    <mergeCell ref="T92:T93"/>
    <mergeCell ref="D101:F101"/>
    <mergeCell ref="D104:I104"/>
    <mergeCell ref="D105:I105"/>
    <mergeCell ref="A88:A91"/>
    <mergeCell ref="B88:B91"/>
    <mergeCell ref="E88:E91"/>
    <mergeCell ref="F88:F91"/>
    <mergeCell ref="G88:G91"/>
    <mergeCell ref="T88:T91"/>
    <mergeCell ref="U84:U85"/>
    <mergeCell ref="A86:A87"/>
    <mergeCell ref="B86:B87"/>
    <mergeCell ref="E86:E87"/>
    <mergeCell ref="F86:F87"/>
    <mergeCell ref="G86:G87"/>
    <mergeCell ref="T86:T87"/>
    <mergeCell ref="A84:A85"/>
    <mergeCell ref="B84:B85"/>
    <mergeCell ref="E84:E85"/>
    <mergeCell ref="F84:F85"/>
    <mergeCell ref="G84:G85"/>
    <mergeCell ref="T84:T85"/>
    <mergeCell ref="T77:T78"/>
    <mergeCell ref="A79:A82"/>
    <mergeCell ref="B79:B82"/>
    <mergeCell ref="E79:E82"/>
    <mergeCell ref="F79:F82"/>
    <mergeCell ref="G79:G82"/>
    <mergeCell ref="T79:T82"/>
    <mergeCell ref="A77:A78"/>
    <mergeCell ref="B77:B78"/>
    <mergeCell ref="E77:E78"/>
    <mergeCell ref="F77:F78"/>
    <mergeCell ref="G77:G78"/>
    <mergeCell ref="S77:S78"/>
    <mergeCell ref="U70:U72"/>
    <mergeCell ref="A73:A76"/>
    <mergeCell ref="B73:B76"/>
    <mergeCell ref="E73:E76"/>
    <mergeCell ref="F73:F76"/>
    <mergeCell ref="G73:G76"/>
    <mergeCell ref="T73:T76"/>
    <mergeCell ref="U73:U76"/>
    <mergeCell ref="A70:A72"/>
    <mergeCell ref="B70:B72"/>
    <mergeCell ref="E70:E72"/>
    <mergeCell ref="F70:F72"/>
    <mergeCell ref="G70:G72"/>
    <mergeCell ref="T70:T72"/>
    <mergeCell ref="U63:U66"/>
    <mergeCell ref="A68:A69"/>
    <mergeCell ref="B68:B69"/>
    <mergeCell ref="E68:E69"/>
    <mergeCell ref="F68:F69"/>
    <mergeCell ref="G68:G69"/>
    <mergeCell ref="T68:T69"/>
    <mergeCell ref="A63:A66"/>
    <mergeCell ref="B63:B66"/>
    <mergeCell ref="E63:E66"/>
    <mergeCell ref="F63:F66"/>
    <mergeCell ref="G63:G66"/>
    <mergeCell ref="T63:T66"/>
    <mergeCell ref="U58:U59"/>
    <mergeCell ref="A60:A62"/>
    <mergeCell ref="B60:B62"/>
    <mergeCell ref="E60:E62"/>
    <mergeCell ref="F60:F62"/>
    <mergeCell ref="G60:G62"/>
    <mergeCell ref="T60:T62"/>
    <mergeCell ref="A58:A59"/>
    <mergeCell ref="B58:B59"/>
    <mergeCell ref="E58:E59"/>
    <mergeCell ref="F58:F59"/>
    <mergeCell ref="G58:G59"/>
    <mergeCell ref="T58:T59"/>
    <mergeCell ref="A53:A55"/>
    <mergeCell ref="B53:B55"/>
    <mergeCell ref="E53:E55"/>
    <mergeCell ref="F53:F55"/>
    <mergeCell ref="G53:G55"/>
    <mergeCell ref="T53:T55"/>
    <mergeCell ref="A51:A52"/>
    <mergeCell ref="B51:B52"/>
    <mergeCell ref="E51:E52"/>
    <mergeCell ref="F51:F52"/>
    <mergeCell ref="G51:G52"/>
    <mergeCell ref="T51:T52"/>
    <mergeCell ref="A49:A50"/>
    <mergeCell ref="B49:B50"/>
    <mergeCell ref="E49:E50"/>
    <mergeCell ref="F49:F50"/>
    <mergeCell ref="G49:G50"/>
    <mergeCell ref="T49:T50"/>
    <mergeCell ref="U43:U46"/>
    <mergeCell ref="A47:A48"/>
    <mergeCell ref="B47:B48"/>
    <mergeCell ref="E47:E48"/>
    <mergeCell ref="F47:F48"/>
    <mergeCell ref="G47:G48"/>
    <mergeCell ref="T47:T48"/>
    <mergeCell ref="U47:U48"/>
    <mergeCell ref="A43:A46"/>
    <mergeCell ref="B43:B46"/>
    <mergeCell ref="E43:E46"/>
    <mergeCell ref="F43:F46"/>
    <mergeCell ref="G43:G46"/>
    <mergeCell ref="T43:T46"/>
    <mergeCell ref="U38:U39"/>
    <mergeCell ref="A41:A42"/>
    <mergeCell ref="B41:B42"/>
    <mergeCell ref="E41:E42"/>
    <mergeCell ref="F41:F42"/>
    <mergeCell ref="G41:G42"/>
    <mergeCell ref="T41:T42"/>
    <mergeCell ref="U41:U42"/>
    <mergeCell ref="A38:A39"/>
    <mergeCell ref="B38:B39"/>
    <mergeCell ref="E38:E39"/>
    <mergeCell ref="F38:F39"/>
    <mergeCell ref="G38:G39"/>
    <mergeCell ref="T38:T39"/>
    <mergeCell ref="U30:U34"/>
    <mergeCell ref="A35:A37"/>
    <mergeCell ref="B35:B37"/>
    <mergeCell ref="E35:E37"/>
    <mergeCell ref="F35:F37"/>
    <mergeCell ref="G35:G37"/>
    <mergeCell ref="T35:T37"/>
    <mergeCell ref="U35:U37"/>
    <mergeCell ref="A30:A34"/>
    <mergeCell ref="B30:B34"/>
    <mergeCell ref="E30:E34"/>
    <mergeCell ref="F30:F34"/>
    <mergeCell ref="G30:G34"/>
    <mergeCell ref="T30:T34"/>
    <mergeCell ref="T23:T24"/>
    <mergeCell ref="A28:A29"/>
    <mergeCell ref="B28:B29"/>
    <mergeCell ref="E28:E29"/>
    <mergeCell ref="F28:F29"/>
    <mergeCell ref="G28:G29"/>
    <mergeCell ref="T28:T29"/>
    <mergeCell ref="P19:P20"/>
    <mergeCell ref="Q19:Q20"/>
    <mergeCell ref="R19:R20"/>
    <mergeCell ref="S19:S20"/>
    <mergeCell ref="T19:T20"/>
    <mergeCell ref="A23:A24"/>
    <mergeCell ref="B23:B24"/>
    <mergeCell ref="E23:E24"/>
    <mergeCell ref="F23:F24"/>
    <mergeCell ref="G23:G24"/>
    <mergeCell ref="J19:J20"/>
    <mergeCell ref="K19:K20"/>
    <mergeCell ref="L19:L20"/>
    <mergeCell ref="M19:M20"/>
    <mergeCell ref="N19:N20"/>
    <mergeCell ref="O19:O20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K4:K5"/>
    <mergeCell ref="A14:A15"/>
    <mergeCell ref="B14:B15"/>
    <mergeCell ref="E14:E15"/>
    <mergeCell ref="F14:F15"/>
    <mergeCell ref="G14:G15"/>
    <mergeCell ref="S14:S15"/>
    <mergeCell ref="T14:T15"/>
    <mergeCell ref="T16:T18"/>
    <mergeCell ref="A16:A18"/>
    <mergeCell ref="B16:B18"/>
    <mergeCell ref="E16:E18"/>
    <mergeCell ref="F16:F18"/>
    <mergeCell ref="G16:G18"/>
    <mergeCell ref="S16:S18"/>
    <mergeCell ref="S7:S9"/>
    <mergeCell ref="T7:T9"/>
    <mergeCell ref="U7:U9"/>
    <mergeCell ref="A10:A12"/>
    <mergeCell ref="B10:B12"/>
    <mergeCell ref="C10:C12"/>
    <mergeCell ref="D10:D12"/>
    <mergeCell ref="E10:E12"/>
    <mergeCell ref="F10:F12"/>
    <mergeCell ref="G10:G12"/>
    <mergeCell ref="S10:S12"/>
    <mergeCell ref="T10:T12"/>
    <mergeCell ref="U10:U12"/>
    <mergeCell ref="A7:A9"/>
    <mergeCell ref="B7:B9"/>
    <mergeCell ref="C7:C8"/>
    <mergeCell ref="D7:D8"/>
    <mergeCell ref="E7:E9"/>
    <mergeCell ref="F7:F9"/>
    <mergeCell ref="G7:G8"/>
    <mergeCell ref="A1:U1"/>
    <mergeCell ref="A2:A5"/>
    <mergeCell ref="B2:B5"/>
    <mergeCell ref="C2:Q2"/>
    <mergeCell ref="R2:R3"/>
    <mergeCell ref="S2:S5"/>
    <mergeCell ref="C3:G3"/>
    <mergeCell ref="H3:O3"/>
    <mergeCell ref="P3:Q3"/>
    <mergeCell ref="C4:D4"/>
    <mergeCell ref="R4:R5"/>
    <mergeCell ref="N4:N5"/>
    <mergeCell ref="O4:O5"/>
    <mergeCell ref="P4:P5"/>
    <mergeCell ref="Q4:Q5"/>
    <mergeCell ref="L4:L5"/>
    <mergeCell ref="M4:M5"/>
    <mergeCell ref="E4:E5"/>
    <mergeCell ref="F4:F5"/>
    <mergeCell ref="G4:G5"/>
    <mergeCell ref="H4:H5"/>
    <mergeCell ref="I4:J4"/>
    <mergeCell ref="T2:T5"/>
    <mergeCell ref="U2:U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7B3F9-AA82-4AE3-80E0-F42AF403D3E7}">
  <dimension ref="A1:AF109"/>
  <sheetViews>
    <sheetView workbookViewId="0">
      <selection activeCell="V4" sqref="V4"/>
    </sheetView>
  </sheetViews>
  <sheetFormatPr defaultColWidth="9" defaultRowHeight="13.8" x14ac:dyDescent="0.25"/>
  <cols>
    <col min="1" max="1" width="16.109375" style="59" customWidth="1"/>
    <col min="2" max="2" width="30.33203125" style="59" customWidth="1"/>
    <col min="3" max="3" width="10.88671875" style="59" customWidth="1"/>
    <col min="4" max="5" width="9" style="59"/>
    <col min="6" max="6" width="12.109375" style="59" customWidth="1"/>
    <col min="7" max="7" width="9" style="59"/>
    <col min="8" max="8" width="10.33203125" style="59" customWidth="1"/>
    <col min="9" max="9" width="20.109375" style="59" customWidth="1"/>
    <col min="10" max="10" width="14.33203125" style="59" customWidth="1"/>
    <col min="11" max="11" width="9" style="59"/>
    <col min="12" max="12" width="13" style="59" customWidth="1"/>
    <col min="13" max="14" width="14.6640625" style="59" customWidth="1"/>
    <col min="15" max="15" width="12.6640625" style="59" customWidth="1"/>
    <col min="16" max="17" width="9" style="59"/>
    <col min="18" max="18" width="17.88671875" style="312" customWidth="1"/>
    <col min="19" max="19" width="19" style="59" customWidth="1"/>
    <col min="20" max="20" width="46" style="60" customWidth="1"/>
    <col min="21" max="21" width="31.6640625" style="59" customWidth="1"/>
    <col min="22" max="16384" width="9" style="59"/>
  </cols>
  <sheetData>
    <row r="1" spans="1:24" ht="18" thickBot="1" x14ac:dyDescent="0.3">
      <c r="A1" s="589" t="s">
        <v>3340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4" s="304" customFormat="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7</v>
      </c>
    </row>
    <row r="3" spans="1:24" s="304" customFormat="1" ht="27.6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4" s="304" customFormat="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4" s="304" customFormat="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4" s="304" customFormat="1" ht="14.4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4" x14ac:dyDescent="0.25">
      <c r="A7" s="617" t="s">
        <v>3341</v>
      </c>
      <c r="B7" s="1159" t="s">
        <v>3342</v>
      </c>
      <c r="C7" s="998">
        <v>0</v>
      </c>
      <c r="D7" s="998">
        <v>0.59</v>
      </c>
      <c r="E7" s="998">
        <v>0.75</v>
      </c>
      <c r="F7" s="632">
        <f>E7*7*1000</f>
        <v>5250</v>
      </c>
      <c r="G7" s="632" t="s">
        <v>51</v>
      </c>
      <c r="H7" s="8"/>
      <c r="I7" s="8"/>
      <c r="J7" s="8"/>
      <c r="K7" s="8"/>
      <c r="L7" s="8"/>
      <c r="M7" s="8"/>
      <c r="N7" s="8"/>
      <c r="O7" s="8"/>
      <c r="P7" s="8"/>
      <c r="Q7" s="8"/>
      <c r="R7" s="460" t="s">
        <v>3343</v>
      </c>
      <c r="S7" s="1086" t="s">
        <v>3344</v>
      </c>
      <c r="T7" s="1086" t="s">
        <v>252</v>
      </c>
      <c r="U7" s="635"/>
    </row>
    <row r="8" spans="1:24" x14ac:dyDescent="0.25">
      <c r="A8" s="605"/>
      <c r="B8" s="970"/>
      <c r="C8" s="654"/>
      <c r="D8" s="654"/>
      <c r="E8" s="654"/>
      <c r="F8" s="633"/>
      <c r="G8" s="633"/>
      <c r="H8" s="13"/>
      <c r="I8" s="13"/>
      <c r="J8" s="13"/>
      <c r="K8" s="13"/>
      <c r="L8" s="13"/>
      <c r="M8" s="13"/>
      <c r="N8" s="13"/>
      <c r="O8" s="13"/>
      <c r="P8" s="13"/>
      <c r="Q8" s="13"/>
      <c r="R8" s="461" t="s">
        <v>3345</v>
      </c>
      <c r="S8" s="1085"/>
      <c r="T8" s="1085"/>
      <c r="U8" s="636"/>
    </row>
    <row r="9" spans="1:24" x14ac:dyDescent="0.25">
      <c r="A9" s="605"/>
      <c r="B9" s="970"/>
      <c r="C9" s="654">
        <v>0.59</v>
      </c>
      <c r="D9" s="654">
        <v>0.68</v>
      </c>
      <c r="E9" s="654"/>
      <c r="F9" s="633"/>
      <c r="G9" s="633"/>
      <c r="H9" s="13"/>
      <c r="I9" s="13"/>
      <c r="J9" s="13"/>
      <c r="K9" s="13"/>
      <c r="L9" s="13"/>
      <c r="M9" s="13"/>
      <c r="N9" s="13"/>
      <c r="O9" s="13"/>
      <c r="P9" s="13"/>
      <c r="Q9" s="13"/>
      <c r="R9" s="461" t="s">
        <v>3343</v>
      </c>
      <c r="S9" s="1085"/>
      <c r="T9" s="1085"/>
      <c r="U9" s="636"/>
    </row>
    <row r="10" spans="1:24" x14ac:dyDescent="0.25">
      <c r="A10" s="605"/>
      <c r="B10" s="970"/>
      <c r="C10" s="654"/>
      <c r="D10" s="654"/>
      <c r="E10" s="654"/>
      <c r="F10" s="633"/>
      <c r="G10" s="6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461" t="s">
        <v>3345</v>
      </c>
      <c r="S10" s="1085"/>
      <c r="T10" s="1085"/>
      <c r="U10" s="636"/>
    </row>
    <row r="11" spans="1:24" ht="14.4" thickBot="1" x14ac:dyDescent="0.3">
      <c r="A11" s="606"/>
      <c r="B11" s="964"/>
      <c r="C11" s="46">
        <v>0.68</v>
      </c>
      <c r="D11" s="46">
        <v>0.75</v>
      </c>
      <c r="E11" s="646"/>
      <c r="F11" s="634"/>
      <c r="G11" s="634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378" t="s">
        <v>3343</v>
      </c>
      <c r="S11" s="1087"/>
      <c r="T11" s="1087"/>
      <c r="U11" s="637"/>
    </row>
    <row r="12" spans="1:24" x14ac:dyDescent="0.25">
      <c r="A12" s="604" t="s">
        <v>3346</v>
      </c>
      <c r="B12" s="607" t="s">
        <v>3347</v>
      </c>
      <c r="C12" s="30">
        <v>0</v>
      </c>
      <c r="D12" s="30">
        <v>1.06</v>
      </c>
      <c r="E12" s="645">
        <v>1.1499999999999999</v>
      </c>
      <c r="F12" s="33">
        <f>D12*3*1000</f>
        <v>3180</v>
      </c>
      <c r="G12" s="33" t="s">
        <v>51</v>
      </c>
      <c r="H12" s="640"/>
      <c r="I12" s="640"/>
      <c r="J12" s="640"/>
      <c r="K12" s="640"/>
      <c r="L12" s="640"/>
      <c r="M12" s="640"/>
      <c r="N12" s="640"/>
      <c r="O12" s="640"/>
      <c r="P12" s="640"/>
      <c r="Q12" s="640"/>
      <c r="R12" s="1084" t="s">
        <v>3348</v>
      </c>
      <c r="S12" s="1084" t="s">
        <v>3349</v>
      </c>
      <c r="T12" s="1084" t="s">
        <v>252</v>
      </c>
      <c r="U12" s="744"/>
    </row>
    <row r="13" spans="1:24" ht="14.4" thickBot="1" x14ac:dyDescent="0.3">
      <c r="A13" s="606"/>
      <c r="B13" s="609"/>
      <c r="C13" s="46">
        <v>1.06</v>
      </c>
      <c r="D13" s="46">
        <v>1.1499999999999999</v>
      </c>
      <c r="E13" s="646"/>
      <c r="F13" s="20">
        <f>0.09*6*1000</f>
        <v>540</v>
      </c>
      <c r="G13" s="20" t="s">
        <v>32</v>
      </c>
      <c r="H13" s="631"/>
      <c r="I13" s="631"/>
      <c r="J13" s="631"/>
      <c r="K13" s="631"/>
      <c r="L13" s="631"/>
      <c r="M13" s="631"/>
      <c r="N13" s="631"/>
      <c r="O13" s="631"/>
      <c r="P13" s="631"/>
      <c r="Q13" s="631"/>
      <c r="R13" s="1087"/>
      <c r="S13" s="1087"/>
      <c r="T13" s="1087"/>
      <c r="U13" s="745"/>
      <c r="W13" s="462"/>
      <c r="X13" s="389"/>
    </row>
    <row r="14" spans="1:24" x14ac:dyDescent="0.25">
      <c r="A14" s="604" t="s">
        <v>3350</v>
      </c>
      <c r="B14" s="963" t="s">
        <v>3351</v>
      </c>
      <c r="C14" s="30">
        <v>0</v>
      </c>
      <c r="D14" s="30">
        <v>0.11</v>
      </c>
      <c r="E14" s="610">
        <v>0.13</v>
      </c>
      <c r="F14" s="34">
        <f>D14*3*1000</f>
        <v>330</v>
      </c>
      <c r="G14" s="34" t="s">
        <v>51</v>
      </c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1084" t="s">
        <v>3352</v>
      </c>
      <c r="S14" s="640" t="s">
        <v>3349</v>
      </c>
      <c r="T14" s="1084" t="s">
        <v>252</v>
      </c>
      <c r="U14" s="642"/>
      <c r="W14" s="462"/>
      <c r="X14" s="389"/>
    </row>
    <row r="15" spans="1:24" ht="14.4" thickBot="1" x14ac:dyDescent="0.3">
      <c r="A15" s="606"/>
      <c r="B15" s="964"/>
      <c r="C15" s="16">
        <v>0.11</v>
      </c>
      <c r="D15" s="16">
        <v>0.13</v>
      </c>
      <c r="E15" s="612"/>
      <c r="F15" s="19">
        <f>0.02*3*1000</f>
        <v>60</v>
      </c>
      <c r="G15" s="19" t="s">
        <v>32</v>
      </c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087"/>
      <c r="S15" s="631"/>
      <c r="T15" s="1087"/>
      <c r="U15" s="637"/>
      <c r="W15" s="462"/>
      <c r="X15" s="389"/>
    </row>
    <row r="16" spans="1:24" x14ac:dyDescent="0.25">
      <c r="A16" s="604" t="s">
        <v>3353</v>
      </c>
      <c r="B16" s="963" t="s">
        <v>3354</v>
      </c>
      <c r="C16" s="30">
        <v>0</v>
      </c>
      <c r="D16" s="34">
        <v>0.11</v>
      </c>
      <c r="E16" s="645">
        <v>0.13</v>
      </c>
      <c r="F16" s="33">
        <f>D16*3*1000</f>
        <v>330</v>
      </c>
      <c r="G16" s="33" t="s">
        <v>51</v>
      </c>
      <c r="H16" s="640"/>
      <c r="I16" s="640"/>
      <c r="J16" s="640"/>
      <c r="K16" s="640"/>
      <c r="L16" s="640"/>
      <c r="M16" s="640"/>
      <c r="N16" s="640"/>
      <c r="O16" s="640"/>
      <c r="P16" s="640"/>
      <c r="Q16" s="640"/>
      <c r="R16" s="1089" t="s">
        <v>3355</v>
      </c>
      <c r="S16" s="640" t="s">
        <v>3349</v>
      </c>
      <c r="T16" s="1084" t="s">
        <v>252</v>
      </c>
      <c r="U16" s="642"/>
      <c r="W16" s="462"/>
      <c r="X16" s="389"/>
    </row>
    <row r="17" spans="1:24" ht="14.4" thickBot="1" x14ac:dyDescent="0.3">
      <c r="A17" s="606"/>
      <c r="B17" s="964"/>
      <c r="C17" s="46">
        <v>0.11</v>
      </c>
      <c r="D17" s="46">
        <v>0.13</v>
      </c>
      <c r="E17" s="646"/>
      <c r="F17" s="20">
        <f>0.02*6*1000</f>
        <v>120</v>
      </c>
      <c r="G17" s="20" t="s">
        <v>32</v>
      </c>
      <c r="H17" s="631"/>
      <c r="I17" s="631"/>
      <c r="J17" s="631"/>
      <c r="K17" s="631"/>
      <c r="L17" s="631"/>
      <c r="M17" s="631"/>
      <c r="N17" s="631"/>
      <c r="O17" s="631"/>
      <c r="P17" s="631"/>
      <c r="Q17" s="631"/>
      <c r="R17" s="1090"/>
      <c r="S17" s="631"/>
      <c r="T17" s="1087"/>
      <c r="U17" s="637"/>
      <c r="W17" s="462"/>
      <c r="X17" s="389"/>
    </row>
    <row r="18" spans="1:24" x14ac:dyDescent="0.25">
      <c r="A18" s="604" t="s">
        <v>3356</v>
      </c>
      <c r="B18" s="963" t="s">
        <v>3357</v>
      </c>
      <c r="C18" s="645">
        <v>0</v>
      </c>
      <c r="D18" s="645">
        <v>0.06</v>
      </c>
      <c r="E18" s="645">
        <v>0.12</v>
      </c>
      <c r="F18" s="641">
        <f>E18*6*1000</f>
        <v>720</v>
      </c>
      <c r="G18" s="641" t="s">
        <v>32</v>
      </c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77" t="s">
        <v>3358</v>
      </c>
      <c r="S18" s="640" t="s">
        <v>3349</v>
      </c>
      <c r="T18" s="1084" t="s">
        <v>252</v>
      </c>
      <c r="U18" s="642"/>
      <c r="W18" s="410"/>
      <c r="X18" s="410"/>
    </row>
    <row r="19" spans="1:24" x14ac:dyDescent="0.25">
      <c r="A19" s="605"/>
      <c r="B19" s="970"/>
      <c r="C19" s="654"/>
      <c r="D19" s="654"/>
      <c r="E19" s="654"/>
      <c r="F19" s="633"/>
      <c r="G19" s="6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461" t="s">
        <v>3359</v>
      </c>
      <c r="S19" s="621"/>
      <c r="T19" s="1085"/>
      <c r="U19" s="636"/>
      <c r="W19" s="410"/>
      <c r="X19" s="410"/>
    </row>
    <row r="20" spans="1:24" ht="14.4" thickBot="1" x14ac:dyDescent="0.3">
      <c r="A20" s="606"/>
      <c r="B20" s="964"/>
      <c r="C20" s="46">
        <v>0.06</v>
      </c>
      <c r="D20" s="46">
        <v>0.12</v>
      </c>
      <c r="E20" s="646"/>
      <c r="F20" s="634"/>
      <c r="G20" s="634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378" t="s">
        <v>3360</v>
      </c>
      <c r="S20" s="631"/>
      <c r="T20" s="1087"/>
      <c r="U20" s="637"/>
      <c r="W20" s="410"/>
      <c r="X20" s="410"/>
    </row>
    <row r="21" spans="1:24" x14ac:dyDescent="0.25">
      <c r="A21" s="604" t="s">
        <v>3361</v>
      </c>
      <c r="B21" s="963" t="s">
        <v>3362</v>
      </c>
      <c r="C21" s="645">
        <v>0</v>
      </c>
      <c r="D21" s="645">
        <v>2.77</v>
      </c>
      <c r="E21" s="610">
        <v>2.77</v>
      </c>
      <c r="F21" s="640">
        <f>E21*7*1000</f>
        <v>19390</v>
      </c>
      <c r="G21" s="640" t="s">
        <v>32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77" t="s">
        <v>3363</v>
      </c>
      <c r="S21" s="1084"/>
      <c r="T21" s="1084" t="s">
        <v>252</v>
      </c>
      <c r="U21" s="744"/>
    </row>
    <row r="22" spans="1:24" ht="14.4" thickBot="1" x14ac:dyDescent="0.3">
      <c r="A22" s="606"/>
      <c r="B22" s="964"/>
      <c r="C22" s="646"/>
      <c r="D22" s="646"/>
      <c r="E22" s="612"/>
      <c r="F22" s="631"/>
      <c r="G22" s="631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378" t="s">
        <v>3364</v>
      </c>
      <c r="S22" s="1087"/>
      <c r="T22" s="1087"/>
      <c r="U22" s="745"/>
    </row>
    <row r="23" spans="1:24" x14ac:dyDescent="0.25">
      <c r="A23" s="604" t="s">
        <v>3365</v>
      </c>
      <c r="B23" s="963" t="s">
        <v>3366</v>
      </c>
      <c r="C23" s="43">
        <v>0</v>
      </c>
      <c r="D23" s="43">
        <v>0.13</v>
      </c>
      <c r="E23" s="645">
        <v>0.24</v>
      </c>
      <c r="F23" s="641">
        <f>E23*5*1000</f>
        <v>1200</v>
      </c>
      <c r="G23" s="641" t="s">
        <v>32</v>
      </c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77" t="s">
        <v>3367</v>
      </c>
      <c r="S23" s="640"/>
      <c r="T23" s="1084" t="s">
        <v>252</v>
      </c>
      <c r="U23" s="744"/>
    </row>
    <row r="24" spans="1:24" x14ac:dyDescent="0.25">
      <c r="A24" s="605"/>
      <c r="B24" s="970"/>
      <c r="C24" s="654">
        <v>0.13</v>
      </c>
      <c r="D24" s="654">
        <v>0.24</v>
      </c>
      <c r="E24" s="654"/>
      <c r="F24" s="633"/>
      <c r="G24" s="6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461" t="s">
        <v>3368</v>
      </c>
      <c r="S24" s="621"/>
      <c r="T24" s="1085"/>
      <c r="U24" s="750"/>
    </row>
    <row r="25" spans="1:24" x14ac:dyDescent="0.25">
      <c r="A25" s="605"/>
      <c r="B25" s="970"/>
      <c r="C25" s="654"/>
      <c r="D25" s="654"/>
      <c r="E25" s="654"/>
      <c r="F25" s="633"/>
      <c r="G25" s="6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461" t="s">
        <v>3369</v>
      </c>
      <c r="S25" s="621"/>
      <c r="T25" s="1085"/>
      <c r="U25" s="750"/>
    </row>
    <row r="26" spans="1:24" ht="14.4" thickBot="1" x14ac:dyDescent="0.3">
      <c r="A26" s="606"/>
      <c r="B26" s="964"/>
      <c r="C26" s="646"/>
      <c r="D26" s="646"/>
      <c r="E26" s="646"/>
      <c r="F26" s="634"/>
      <c r="G26" s="634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378" t="s">
        <v>3370</v>
      </c>
      <c r="S26" s="631"/>
      <c r="T26" s="1087"/>
      <c r="U26" s="745"/>
    </row>
    <row r="27" spans="1:24" ht="24.6" thickBot="1" x14ac:dyDescent="0.3">
      <c r="A27" s="22" t="s">
        <v>3371</v>
      </c>
      <c r="B27" s="23" t="s">
        <v>3372</v>
      </c>
      <c r="C27" s="41">
        <v>0</v>
      </c>
      <c r="D27" s="41">
        <v>2.64</v>
      </c>
      <c r="E27" s="41">
        <v>2.64</v>
      </c>
      <c r="F27" s="27">
        <f>D27*5*1000</f>
        <v>13200.000000000002</v>
      </c>
      <c r="G27" s="27" t="s">
        <v>32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376" t="s">
        <v>3373</v>
      </c>
      <c r="S27" s="27"/>
      <c r="T27" s="380" t="s">
        <v>252</v>
      </c>
      <c r="U27" s="110"/>
    </row>
    <row r="28" spans="1:24" x14ac:dyDescent="0.25">
      <c r="A28" s="604" t="s">
        <v>3374</v>
      </c>
      <c r="B28" s="607" t="s">
        <v>3375</v>
      </c>
      <c r="C28" s="43">
        <v>0</v>
      </c>
      <c r="D28" s="43">
        <v>1.43</v>
      </c>
      <c r="E28" s="645">
        <v>2.2400000000000002</v>
      </c>
      <c r="F28" s="640">
        <f>E28*7*1000</f>
        <v>15680.000000000002</v>
      </c>
      <c r="G28" s="640" t="s">
        <v>32</v>
      </c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77" t="s">
        <v>3376</v>
      </c>
      <c r="S28" s="1160"/>
      <c r="T28" s="1084" t="s">
        <v>252</v>
      </c>
      <c r="U28" s="642"/>
    </row>
    <row r="29" spans="1:24" x14ac:dyDescent="0.25">
      <c r="A29" s="605"/>
      <c r="B29" s="608"/>
      <c r="C29" s="48">
        <v>1.43</v>
      </c>
      <c r="D29" s="48">
        <v>1.87</v>
      </c>
      <c r="E29" s="654"/>
      <c r="F29" s="621"/>
      <c r="G29" s="621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373" t="s">
        <v>3377</v>
      </c>
      <c r="S29" s="1161"/>
      <c r="T29" s="1085"/>
      <c r="U29" s="636"/>
    </row>
    <row r="30" spans="1:24" x14ac:dyDescent="0.25">
      <c r="A30" s="605"/>
      <c r="B30" s="608"/>
      <c r="C30" s="654">
        <v>1.87</v>
      </c>
      <c r="D30" s="654">
        <v>2.2400000000000002</v>
      </c>
      <c r="E30" s="654"/>
      <c r="F30" s="621"/>
      <c r="G30" s="621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373" t="s">
        <v>3378</v>
      </c>
      <c r="S30" s="1161"/>
      <c r="T30" s="1085"/>
      <c r="U30" s="636"/>
    </row>
    <row r="31" spans="1:24" ht="14.4" thickBot="1" x14ac:dyDescent="0.3">
      <c r="A31" s="606"/>
      <c r="B31" s="609"/>
      <c r="C31" s="646"/>
      <c r="D31" s="646"/>
      <c r="E31" s="646"/>
      <c r="F31" s="631"/>
      <c r="G31" s="631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374" t="s">
        <v>3379</v>
      </c>
      <c r="S31" s="1162"/>
      <c r="T31" s="1087"/>
      <c r="U31" s="637"/>
    </row>
    <row r="32" spans="1:24" ht="24.6" thickBot="1" x14ac:dyDescent="0.3">
      <c r="A32" s="22" t="s">
        <v>3380</v>
      </c>
      <c r="B32" s="23" t="s">
        <v>3381</v>
      </c>
      <c r="C32" s="41">
        <v>0</v>
      </c>
      <c r="D32" s="41">
        <v>1.28</v>
      </c>
      <c r="E32" s="24">
        <f>D32</f>
        <v>1.28</v>
      </c>
      <c r="F32" s="3">
        <f>E32*7*1000</f>
        <v>8960</v>
      </c>
      <c r="G32" s="3" t="s">
        <v>32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376" t="s">
        <v>3382</v>
      </c>
      <c r="S32" s="27"/>
      <c r="T32" s="380" t="s">
        <v>252</v>
      </c>
      <c r="U32" s="110"/>
    </row>
    <row r="33" spans="1:21" ht="24.6" thickBot="1" x14ac:dyDescent="0.3">
      <c r="A33" s="22" t="s">
        <v>3383</v>
      </c>
      <c r="B33" s="305" t="s">
        <v>3384</v>
      </c>
      <c r="C33" s="41">
        <v>0</v>
      </c>
      <c r="D33" s="41">
        <v>1.73</v>
      </c>
      <c r="E33" s="41">
        <v>1.73</v>
      </c>
      <c r="F33" s="3">
        <f>E33*7*1000</f>
        <v>12110</v>
      </c>
      <c r="G33" s="3" t="s">
        <v>32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376" t="s">
        <v>3385</v>
      </c>
      <c r="S33" s="27"/>
      <c r="T33" s="380" t="s">
        <v>252</v>
      </c>
      <c r="U33" s="5"/>
    </row>
    <row r="34" spans="1:21" x14ac:dyDescent="0.25">
      <c r="A34" s="604" t="s">
        <v>3386</v>
      </c>
      <c r="B34" s="963" t="s">
        <v>3387</v>
      </c>
      <c r="C34" s="645">
        <v>0</v>
      </c>
      <c r="D34" s="645">
        <v>1.68</v>
      </c>
      <c r="E34" s="645">
        <v>4.75</v>
      </c>
      <c r="F34" s="641">
        <f>E34*7*1000</f>
        <v>33250</v>
      </c>
      <c r="G34" s="641" t="s">
        <v>32</v>
      </c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77" t="s">
        <v>3388</v>
      </c>
      <c r="S34" s="640"/>
      <c r="T34" s="1084" t="s">
        <v>252</v>
      </c>
      <c r="U34" s="642"/>
    </row>
    <row r="35" spans="1:21" x14ac:dyDescent="0.25">
      <c r="A35" s="605"/>
      <c r="B35" s="970"/>
      <c r="C35" s="654"/>
      <c r="D35" s="654"/>
      <c r="E35" s="654"/>
      <c r="F35" s="633"/>
      <c r="G35" s="63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461" t="s">
        <v>3389</v>
      </c>
      <c r="S35" s="621"/>
      <c r="T35" s="1085"/>
      <c r="U35" s="636"/>
    </row>
    <row r="36" spans="1:21" ht="14.4" thickBot="1" x14ac:dyDescent="0.3">
      <c r="A36" s="606"/>
      <c r="B36" s="964"/>
      <c r="C36" s="46">
        <v>1.68</v>
      </c>
      <c r="D36" s="46">
        <v>4.75</v>
      </c>
      <c r="E36" s="646"/>
      <c r="F36" s="634"/>
      <c r="G36" s="634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378" t="s">
        <v>3390</v>
      </c>
      <c r="S36" s="631"/>
      <c r="T36" s="1087"/>
      <c r="U36" s="637"/>
    </row>
    <row r="37" spans="1:21" x14ac:dyDescent="0.25">
      <c r="A37" s="604" t="s">
        <v>3391</v>
      </c>
      <c r="B37" s="607" t="s">
        <v>3392</v>
      </c>
      <c r="C37" s="645">
        <v>0</v>
      </c>
      <c r="D37" s="645">
        <v>0.67</v>
      </c>
      <c r="E37" s="645">
        <v>2.72</v>
      </c>
      <c r="F37" s="640">
        <f>D41*7*1000</f>
        <v>19040.000000000004</v>
      </c>
      <c r="G37" s="640" t="s">
        <v>32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75" t="s">
        <v>3393</v>
      </c>
      <c r="S37" s="640"/>
      <c r="T37" s="1084" t="s">
        <v>252</v>
      </c>
      <c r="U37" s="642"/>
    </row>
    <row r="38" spans="1:21" x14ac:dyDescent="0.25">
      <c r="A38" s="605"/>
      <c r="B38" s="608"/>
      <c r="C38" s="654"/>
      <c r="D38" s="654"/>
      <c r="E38" s="654"/>
      <c r="F38" s="621"/>
      <c r="G38" s="621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373" t="s">
        <v>3390</v>
      </c>
      <c r="S38" s="621"/>
      <c r="T38" s="1085"/>
      <c r="U38" s="636"/>
    </row>
    <row r="39" spans="1:21" x14ac:dyDescent="0.25">
      <c r="A39" s="605"/>
      <c r="B39" s="608"/>
      <c r="C39" s="654">
        <v>0.67</v>
      </c>
      <c r="D39" s="654">
        <v>0.8</v>
      </c>
      <c r="E39" s="654"/>
      <c r="F39" s="621"/>
      <c r="G39" s="621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373" t="s">
        <v>3394</v>
      </c>
      <c r="S39" s="621"/>
      <c r="T39" s="1085"/>
      <c r="U39" s="636"/>
    </row>
    <row r="40" spans="1:21" x14ac:dyDescent="0.25">
      <c r="A40" s="605"/>
      <c r="B40" s="608"/>
      <c r="C40" s="654"/>
      <c r="D40" s="654"/>
      <c r="E40" s="654"/>
      <c r="F40" s="621"/>
      <c r="G40" s="621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373" t="s">
        <v>3390</v>
      </c>
      <c r="S40" s="621"/>
      <c r="T40" s="1085"/>
      <c r="U40" s="636"/>
    </row>
    <row r="41" spans="1:21" ht="14.4" thickBot="1" x14ac:dyDescent="0.3">
      <c r="A41" s="606"/>
      <c r="B41" s="609"/>
      <c r="C41" s="46">
        <v>0.8</v>
      </c>
      <c r="D41" s="46">
        <v>2.72</v>
      </c>
      <c r="E41" s="646"/>
      <c r="F41" s="631"/>
      <c r="G41" s="631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378" t="s">
        <v>3395</v>
      </c>
      <c r="S41" s="631"/>
      <c r="T41" s="1087"/>
      <c r="U41" s="637"/>
    </row>
    <row r="42" spans="1:21" x14ac:dyDescent="0.25">
      <c r="A42" s="604" t="s">
        <v>3396</v>
      </c>
      <c r="B42" s="607" t="s">
        <v>3397</v>
      </c>
      <c r="C42" s="43">
        <v>0</v>
      </c>
      <c r="D42" s="43">
        <v>1.65</v>
      </c>
      <c r="E42" s="645">
        <v>2.79</v>
      </c>
      <c r="F42" s="640">
        <f>E42*7*1000</f>
        <v>19530</v>
      </c>
      <c r="G42" s="640" t="s">
        <v>32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77" t="s">
        <v>3398</v>
      </c>
      <c r="S42" s="640"/>
      <c r="T42" s="1084" t="s">
        <v>252</v>
      </c>
      <c r="U42" s="642" t="s">
        <v>67</v>
      </c>
    </row>
    <row r="43" spans="1:21" x14ac:dyDescent="0.25">
      <c r="A43" s="605"/>
      <c r="B43" s="608"/>
      <c r="C43" s="654">
        <v>1.65</v>
      </c>
      <c r="D43" s="654">
        <v>2.79</v>
      </c>
      <c r="E43" s="654"/>
      <c r="F43" s="621"/>
      <c r="G43" s="621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461" t="s">
        <v>3399</v>
      </c>
      <c r="S43" s="621"/>
      <c r="T43" s="1085"/>
      <c r="U43" s="636"/>
    </row>
    <row r="44" spans="1:21" ht="14.4" thickBot="1" x14ac:dyDescent="0.3">
      <c r="A44" s="606"/>
      <c r="B44" s="609"/>
      <c r="C44" s="646"/>
      <c r="D44" s="646"/>
      <c r="E44" s="646"/>
      <c r="F44" s="631"/>
      <c r="G44" s="631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378" t="s">
        <v>3400</v>
      </c>
      <c r="S44" s="631"/>
      <c r="T44" s="1087"/>
      <c r="U44" s="637"/>
    </row>
    <row r="45" spans="1:21" x14ac:dyDescent="0.25">
      <c r="A45" s="604" t="s">
        <v>3401</v>
      </c>
      <c r="B45" s="607" t="s">
        <v>3402</v>
      </c>
      <c r="C45" s="645">
        <v>0</v>
      </c>
      <c r="D45" s="645">
        <v>3</v>
      </c>
      <c r="E45" s="645">
        <v>3</v>
      </c>
      <c r="F45" s="640">
        <f>E45*6*1000</f>
        <v>18000</v>
      </c>
      <c r="G45" s="640" t="s">
        <v>32</v>
      </c>
      <c r="H45" s="640"/>
      <c r="I45" s="640"/>
      <c r="J45" s="640"/>
      <c r="K45" s="640"/>
      <c r="L45" s="640"/>
      <c r="M45" s="640"/>
      <c r="N45" s="640"/>
      <c r="O45" s="640"/>
      <c r="P45" s="640"/>
      <c r="Q45" s="640"/>
      <c r="R45" s="377" t="s">
        <v>3403</v>
      </c>
      <c r="S45" s="640"/>
      <c r="T45" s="1084" t="s">
        <v>252</v>
      </c>
      <c r="U45" s="642"/>
    </row>
    <row r="46" spans="1:21" ht="14.4" thickBot="1" x14ac:dyDescent="0.3">
      <c r="A46" s="606"/>
      <c r="B46" s="609"/>
      <c r="C46" s="646"/>
      <c r="D46" s="646"/>
      <c r="E46" s="646"/>
      <c r="F46" s="631"/>
      <c r="G46" s="631"/>
      <c r="H46" s="631"/>
      <c r="I46" s="631"/>
      <c r="J46" s="631"/>
      <c r="K46" s="631"/>
      <c r="L46" s="631"/>
      <c r="M46" s="631"/>
      <c r="N46" s="631"/>
      <c r="O46" s="631"/>
      <c r="P46" s="631"/>
      <c r="Q46" s="631"/>
      <c r="R46" s="374" t="s">
        <v>3404</v>
      </c>
      <c r="S46" s="631"/>
      <c r="T46" s="1087"/>
      <c r="U46" s="637"/>
    </row>
    <row r="47" spans="1:21" ht="24.6" thickBot="1" x14ac:dyDescent="0.3">
      <c r="A47" s="22" t="s">
        <v>3405</v>
      </c>
      <c r="B47" s="23" t="s">
        <v>3406</v>
      </c>
      <c r="C47" s="41">
        <v>0</v>
      </c>
      <c r="D47" s="41">
        <v>1.58</v>
      </c>
      <c r="E47" s="41">
        <v>1.58</v>
      </c>
      <c r="F47" s="27">
        <f>D47*6*1000</f>
        <v>9480</v>
      </c>
      <c r="G47" s="27" t="s">
        <v>32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380" t="s">
        <v>3407</v>
      </c>
      <c r="S47" s="27"/>
      <c r="T47" s="380" t="s">
        <v>252</v>
      </c>
      <c r="U47" s="5"/>
    </row>
    <row r="48" spans="1:21" x14ac:dyDescent="0.25">
      <c r="A48" s="604" t="s">
        <v>3408</v>
      </c>
      <c r="B48" s="607" t="s">
        <v>3409</v>
      </c>
      <c r="C48" s="30">
        <v>0</v>
      </c>
      <c r="D48" s="30">
        <v>0.56000000000000005</v>
      </c>
      <c r="E48" s="610">
        <v>1.83</v>
      </c>
      <c r="F48" s="640">
        <f>E48*6*1000</f>
        <v>10980</v>
      </c>
      <c r="G48" s="640" t="s">
        <v>32</v>
      </c>
      <c r="H48" s="640"/>
      <c r="I48" s="640"/>
      <c r="J48" s="640"/>
      <c r="K48" s="640"/>
      <c r="L48" s="640"/>
      <c r="M48" s="640"/>
      <c r="N48" s="640"/>
      <c r="O48" s="640"/>
      <c r="P48" s="640"/>
      <c r="Q48" s="640"/>
      <c r="R48" s="375" t="s">
        <v>3410</v>
      </c>
      <c r="S48" s="640"/>
      <c r="T48" s="1084" t="s">
        <v>252</v>
      </c>
      <c r="U48" s="642"/>
    </row>
    <row r="49" spans="1:21" x14ac:dyDescent="0.25">
      <c r="A49" s="605"/>
      <c r="B49" s="608"/>
      <c r="C49" s="10">
        <v>0.55000000000000004</v>
      </c>
      <c r="D49" s="10">
        <v>0.71</v>
      </c>
      <c r="E49" s="611"/>
      <c r="F49" s="621"/>
      <c r="G49" s="621"/>
      <c r="H49" s="621"/>
      <c r="I49" s="621"/>
      <c r="J49" s="621"/>
      <c r="K49" s="621"/>
      <c r="L49" s="621"/>
      <c r="M49" s="621"/>
      <c r="N49" s="621"/>
      <c r="O49" s="621"/>
      <c r="P49" s="621"/>
      <c r="Q49" s="621"/>
      <c r="R49" s="373" t="s">
        <v>3411</v>
      </c>
      <c r="S49" s="621"/>
      <c r="T49" s="1085"/>
      <c r="U49" s="636"/>
    </row>
    <row r="50" spans="1:21" x14ac:dyDescent="0.25">
      <c r="A50" s="605"/>
      <c r="B50" s="608"/>
      <c r="C50" s="10">
        <v>0.71</v>
      </c>
      <c r="D50" s="10">
        <v>1.18</v>
      </c>
      <c r="E50" s="611"/>
      <c r="F50" s="621"/>
      <c r="G50" s="621"/>
      <c r="H50" s="621"/>
      <c r="I50" s="621"/>
      <c r="J50" s="621"/>
      <c r="K50" s="621"/>
      <c r="L50" s="621"/>
      <c r="M50" s="621"/>
      <c r="N50" s="621"/>
      <c r="O50" s="621"/>
      <c r="P50" s="621"/>
      <c r="Q50" s="621"/>
      <c r="R50" s="373" t="s">
        <v>3412</v>
      </c>
      <c r="S50" s="621"/>
      <c r="T50" s="1085"/>
      <c r="U50" s="636"/>
    </row>
    <row r="51" spans="1:21" x14ac:dyDescent="0.25">
      <c r="A51" s="605"/>
      <c r="B51" s="608"/>
      <c r="C51" s="10">
        <v>1.18</v>
      </c>
      <c r="D51" s="10">
        <v>1.39</v>
      </c>
      <c r="E51" s="611"/>
      <c r="F51" s="621"/>
      <c r="G51" s="621"/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373" t="s">
        <v>3413</v>
      </c>
      <c r="S51" s="621"/>
      <c r="T51" s="1085"/>
      <c r="U51" s="636"/>
    </row>
    <row r="52" spans="1:21" x14ac:dyDescent="0.25">
      <c r="A52" s="605"/>
      <c r="B52" s="608"/>
      <c r="C52" s="10">
        <v>1.39</v>
      </c>
      <c r="D52" s="10">
        <v>1.59</v>
      </c>
      <c r="E52" s="611"/>
      <c r="F52" s="621"/>
      <c r="G52" s="621"/>
      <c r="H52" s="621"/>
      <c r="I52" s="621"/>
      <c r="J52" s="621"/>
      <c r="K52" s="621"/>
      <c r="L52" s="621"/>
      <c r="M52" s="621"/>
      <c r="N52" s="621"/>
      <c r="O52" s="621"/>
      <c r="P52" s="621"/>
      <c r="Q52" s="621"/>
      <c r="R52" s="373" t="s">
        <v>3414</v>
      </c>
      <c r="S52" s="621"/>
      <c r="T52" s="1085"/>
      <c r="U52" s="636"/>
    </row>
    <row r="53" spans="1:21" x14ac:dyDescent="0.25">
      <c r="A53" s="605"/>
      <c r="B53" s="608"/>
      <c r="C53" s="611">
        <v>1.59</v>
      </c>
      <c r="D53" s="611">
        <v>1.83</v>
      </c>
      <c r="E53" s="611"/>
      <c r="F53" s="621"/>
      <c r="G53" s="621"/>
      <c r="H53" s="621"/>
      <c r="I53" s="621"/>
      <c r="J53" s="621"/>
      <c r="K53" s="621"/>
      <c r="L53" s="621"/>
      <c r="M53" s="621"/>
      <c r="N53" s="621"/>
      <c r="O53" s="621"/>
      <c r="P53" s="621"/>
      <c r="Q53" s="621"/>
      <c r="R53" s="373" t="s">
        <v>3415</v>
      </c>
      <c r="S53" s="621"/>
      <c r="T53" s="1085"/>
      <c r="U53" s="636"/>
    </row>
    <row r="54" spans="1:21" x14ac:dyDescent="0.25">
      <c r="A54" s="605"/>
      <c r="B54" s="608"/>
      <c r="C54" s="611"/>
      <c r="D54" s="611"/>
      <c r="E54" s="611"/>
      <c r="F54" s="621"/>
      <c r="G54" s="621"/>
      <c r="H54" s="621"/>
      <c r="I54" s="621"/>
      <c r="J54" s="621"/>
      <c r="K54" s="621"/>
      <c r="L54" s="621"/>
      <c r="M54" s="621"/>
      <c r="N54" s="621"/>
      <c r="O54" s="621"/>
      <c r="P54" s="621"/>
      <c r="Q54" s="621"/>
      <c r="R54" s="373" t="s">
        <v>3416</v>
      </c>
      <c r="S54" s="621"/>
      <c r="T54" s="1085"/>
      <c r="U54" s="636"/>
    </row>
    <row r="55" spans="1:21" x14ac:dyDescent="0.25">
      <c r="A55" s="605"/>
      <c r="B55" s="608"/>
      <c r="C55" s="611"/>
      <c r="D55" s="611"/>
      <c r="E55" s="611"/>
      <c r="F55" s="621"/>
      <c r="G55" s="621"/>
      <c r="H55" s="621"/>
      <c r="I55" s="621"/>
      <c r="J55" s="621"/>
      <c r="K55" s="621"/>
      <c r="L55" s="621"/>
      <c r="M55" s="621"/>
      <c r="N55" s="621"/>
      <c r="O55" s="621"/>
      <c r="P55" s="621"/>
      <c r="Q55" s="621"/>
      <c r="R55" s="373" t="s">
        <v>3417</v>
      </c>
      <c r="S55" s="621"/>
      <c r="T55" s="1085"/>
      <c r="U55" s="636"/>
    </row>
    <row r="56" spans="1:21" ht="14.4" thickBot="1" x14ac:dyDescent="0.3">
      <c r="A56" s="606"/>
      <c r="B56" s="609"/>
      <c r="C56" s="612"/>
      <c r="D56" s="612"/>
      <c r="E56" s="612"/>
      <c r="F56" s="631"/>
      <c r="G56" s="631"/>
      <c r="H56" s="631"/>
      <c r="I56" s="631"/>
      <c r="J56" s="631"/>
      <c r="K56" s="631"/>
      <c r="L56" s="631"/>
      <c r="M56" s="631"/>
      <c r="N56" s="631"/>
      <c r="O56" s="631"/>
      <c r="P56" s="631"/>
      <c r="Q56" s="631"/>
      <c r="R56" s="374" t="s">
        <v>3418</v>
      </c>
      <c r="S56" s="631"/>
      <c r="T56" s="1087"/>
      <c r="U56" s="637"/>
    </row>
    <row r="57" spans="1:21" ht="24.6" thickBot="1" x14ac:dyDescent="0.3">
      <c r="A57" s="22" t="s">
        <v>3419</v>
      </c>
      <c r="B57" s="23" t="s">
        <v>3420</v>
      </c>
      <c r="C57" s="41">
        <v>0</v>
      </c>
      <c r="D57" s="41">
        <v>1.44</v>
      </c>
      <c r="E57" s="41">
        <v>1.44</v>
      </c>
      <c r="F57" s="27">
        <f>D57*6*1000</f>
        <v>8640</v>
      </c>
      <c r="G57" s="3" t="s">
        <v>32</v>
      </c>
      <c r="H57" s="3" t="s">
        <v>3421</v>
      </c>
      <c r="I57" s="27">
        <v>0.9</v>
      </c>
      <c r="J57" s="3" t="s">
        <v>3422</v>
      </c>
      <c r="K57" s="3">
        <v>18.2</v>
      </c>
      <c r="L57" s="27">
        <v>136.69999999999999</v>
      </c>
      <c r="M57" s="27"/>
      <c r="N57" s="27"/>
      <c r="O57" s="27"/>
      <c r="P57" s="27"/>
      <c r="Q57" s="27"/>
      <c r="R57" s="376" t="s">
        <v>3423</v>
      </c>
      <c r="S57" s="27"/>
      <c r="T57" s="380" t="s">
        <v>252</v>
      </c>
      <c r="U57" s="5" t="s">
        <v>67</v>
      </c>
    </row>
    <row r="58" spans="1:21" ht="24.6" thickBot="1" x14ac:dyDescent="0.3">
      <c r="A58" s="22" t="s">
        <v>3424</v>
      </c>
      <c r="B58" s="23" t="s">
        <v>3425</v>
      </c>
      <c r="C58" s="41">
        <v>0</v>
      </c>
      <c r="D58" s="41">
        <v>1.7</v>
      </c>
      <c r="E58" s="41">
        <v>1.7</v>
      </c>
      <c r="F58" s="27">
        <f>D58*6*1000</f>
        <v>10200</v>
      </c>
      <c r="G58" s="3" t="s">
        <v>32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380" t="s">
        <v>3426</v>
      </c>
      <c r="S58" s="27"/>
      <c r="T58" s="380" t="s">
        <v>252</v>
      </c>
      <c r="U58" s="5"/>
    </row>
    <row r="59" spans="1:21" ht="24.6" thickBot="1" x14ac:dyDescent="0.3">
      <c r="A59" s="22" t="s">
        <v>3427</v>
      </c>
      <c r="B59" s="23" t="s">
        <v>3428</v>
      </c>
      <c r="C59" s="41">
        <v>0</v>
      </c>
      <c r="D59" s="41">
        <v>0.38</v>
      </c>
      <c r="E59" s="24">
        <v>0.38</v>
      </c>
      <c r="F59" s="463">
        <f>D59*7*1000</f>
        <v>2660</v>
      </c>
      <c r="G59" s="463" t="s">
        <v>32</v>
      </c>
      <c r="H59" s="27"/>
      <c r="I59" s="27"/>
      <c r="J59" s="3"/>
      <c r="K59" s="27"/>
      <c r="L59" s="27"/>
      <c r="M59" s="27"/>
      <c r="N59" s="27"/>
      <c r="O59" s="27"/>
      <c r="P59" s="27"/>
      <c r="Q59" s="27"/>
      <c r="R59" s="376" t="s">
        <v>3429</v>
      </c>
      <c r="S59" s="27"/>
      <c r="T59" s="380" t="s">
        <v>252</v>
      </c>
      <c r="U59" s="110"/>
    </row>
    <row r="60" spans="1:21" ht="24.6" thickBot="1" x14ac:dyDescent="0.3">
      <c r="A60" s="22" t="s">
        <v>3430</v>
      </c>
      <c r="B60" s="23" t="s">
        <v>3431</v>
      </c>
      <c r="C60" s="41">
        <v>0</v>
      </c>
      <c r="D60" s="41">
        <v>0.98</v>
      </c>
      <c r="E60" s="41">
        <v>0.98</v>
      </c>
      <c r="F60" s="27">
        <f>D60*5*1000</f>
        <v>4900</v>
      </c>
      <c r="G60" s="27" t="s">
        <v>32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376" t="s">
        <v>3432</v>
      </c>
      <c r="S60" s="27"/>
      <c r="T60" s="380" t="s">
        <v>252</v>
      </c>
      <c r="U60" s="110"/>
    </row>
    <row r="61" spans="1:21" x14ac:dyDescent="0.25">
      <c r="A61" s="604" t="s">
        <v>3433</v>
      </c>
      <c r="B61" s="963" t="s">
        <v>3434</v>
      </c>
      <c r="C61" s="610">
        <v>0</v>
      </c>
      <c r="D61" s="610">
        <v>0.36</v>
      </c>
      <c r="E61" s="610">
        <v>0.49</v>
      </c>
      <c r="F61" s="640">
        <f>E61*4*1000</f>
        <v>1960</v>
      </c>
      <c r="G61" s="640" t="s">
        <v>32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75" t="s">
        <v>3435</v>
      </c>
      <c r="S61" s="640"/>
      <c r="T61" s="1084" t="s">
        <v>252</v>
      </c>
      <c r="U61" s="744"/>
    </row>
    <row r="62" spans="1:21" x14ac:dyDescent="0.25">
      <c r="A62" s="605"/>
      <c r="B62" s="970"/>
      <c r="C62" s="611"/>
      <c r="D62" s="611"/>
      <c r="E62" s="611"/>
      <c r="F62" s="621"/>
      <c r="G62" s="621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373" t="s">
        <v>3436</v>
      </c>
      <c r="S62" s="621"/>
      <c r="T62" s="1085"/>
      <c r="U62" s="750"/>
    </row>
    <row r="63" spans="1:21" x14ac:dyDescent="0.25">
      <c r="A63" s="605"/>
      <c r="B63" s="970"/>
      <c r="C63" s="611">
        <v>0.36</v>
      </c>
      <c r="D63" s="611">
        <v>0.49</v>
      </c>
      <c r="E63" s="611"/>
      <c r="F63" s="621"/>
      <c r="G63" s="621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373" t="s">
        <v>3437</v>
      </c>
      <c r="S63" s="621"/>
      <c r="T63" s="1085"/>
      <c r="U63" s="750"/>
    </row>
    <row r="64" spans="1:21" ht="14.4" thickBot="1" x14ac:dyDescent="0.3">
      <c r="A64" s="606"/>
      <c r="B64" s="964"/>
      <c r="C64" s="612"/>
      <c r="D64" s="612"/>
      <c r="E64" s="612"/>
      <c r="F64" s="631"/>
      <c r="G64" s="631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374" t="s">
        <v>3438</v>
      </c>
      <c r="S64" s="631"/>
      <c r="T64" s="1087"/>
      <c r="U64" s="745"/>
    </row>
    <row r="65" spans="1:22" x14ac:dyDescent="0.25">
      <c r="A65" s="604" t="s">
        <v>3439</v>
      </c>
      <c r="B65" s="607" t="s">
        <v>3440</v>
      </c>
      <c r="C65" s="610">
        <v>0</v>
      </c>
      <c r="D65" s="610">
        <v>0.25</v>
      </c>
      <c r="E65" s="610">
        <v>0.4</v>
      </c>
      <c r="F65" s="640">
        <f>E65*5*1000</f>
        <v>2000</v>
      </c>
      <c r="G65" s="640" t="s">
        <v>32</v>
      </c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75" t="s">
        <v>3441</v>
      </c>
      <c r="S65" s="640"/>
      <c r="T65" s="1084" t="s">
        <v>252</v>
      </c>
      <c r="U65" s="642" t="s">
        <v>67</v>
      </c>
    </row>
    <row r="66" spans="1:22" x14ac:dyDescent="0.25">
      <c r="A66" s="605"/>
      <c r="B66" s="608"/>
      <c r="C66" s="611"/>
      <c r="D66" s="611"/>
      <c r="E66" s="611"/>
      <c r="F66" s="621"/>
      <c r="G66" s="621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373" t="s">
        <v>3442</v>
      </c>
      <c r="S66" s="621"/>
      <c r="T66" s="1085"/>
      <c r="U66" s="636"/>
    </row>
    <row r="67" spans="1:22" ht="14.4" thickBot="1" x14ac:dyDescent="0.3">
      <c r="A67" s="606"/>
      <c r="B67" s="609"/>
      <c r="C67" s="16">
        <v>0.25</v>
      </c>
      <c r="D67" s="16">
        <v>0.4</v>
      </c>
      <c r="E67" s="612"/>
      <c r="F67" s="631"/>
      <c r="G67" s="631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374" t="s">
        <v>3443</v>
      </c>
      <c r="S67" s="631"/>
      <c r="T67" s="1087"/>
      <c r="U67" s="637"/>
    </row>
    <row r="68" spans="1:22" x14ac:dyDescent="0.25">
      <c r="A68" s="604" t="s">
        <v>3444</v>
      </c>
      <c r="B68" s="607" t="s">
        <v>3445</v>
      </c>
      <c r="C68" s="30">
        <v>0</v>
      </c>
      <c r="D68" s="30">
        <v>0.42</v>
      </c>
      <c r="E68" s="610">
        <v>1.07</v>
      </c>
      <c r="F68" s="613">
        <f>D70*5*1000</f>
        <v>5350.0000000000009</v>
      </c>
      <c r="G68" s="640" t="s">
        <v>32</v>
      </c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75" t="s">
        <v>3446</v>
      </c>
      <c r="S68" s="640"/>
      <c r="T68" s="1084" t="s">
        <v>252</v>
      </c>
      <c r="U68" s="642"/>
    </row>
    <row r="69" spans="1:22" x14ac:dyDescent="0.25">
      <c r="A69" s="605"/>
      <c r="B69" s="608"/>
      <c r="C69" s="10">
        <v>0.42</v>
      </c>
      <c r="D69" s="10">
        <v>0.73</v>
      </c>
      <c r="E69" s="611"/>
      <c r="F69" s="614"/>
      <c r="G69" s="621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373" t="s">
        <v>3447</v>
      </c>
      <c r="S69" s="621"/>
      <c r="T69" s="1085"/>
      <c r="U69" s="636"/>
    </row>
    <row r="70" spans="1:22" ht="14.4" thickBot="1" x14ac:dyDescent="0.3">
      <c r="A70" s="606"/>
      <c r="B70" s="609"/>
      <c r="C70" s="16">
        <v>0.73</v>
      </c>
      <c r="D70" s="16">
        <v>1.07</v>
      </c>
      <c r="E70" s="612"/>
      <c r="F70" s="638"/>
      <c r="G70" s="631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374" t="s">
        <v>3448</v>
      </c>
      <c r="S70" s="631"/>
      <c r="T70" s="1087"/>
      <c r="U70" s="637"/>
    </row>
    <row r="71" spans="1:22" x14ac:dyDescent="0.25">
      <c r="A71" s="604" t="s">
        <v>3449</v>
      </c>
      <c r="B71" s="1167" t="s">
        <v>3450</v>
      </c>
      <c r="C71" s="1163">
        <v>0</v>
      </c>
      <c r="D71" s="1163">
        <v>0.28999999999999998</v>
      </c>
      <c r="E71" s="1163">
        <v>0.28999999999999998</v>
      </c>
      <c r="F71" s="1165">
        <f>E71*4*1000</f>
        <v>1160</v>
      </c>
      <c r="G71" s="1165" t="s">
        <v>32</v>
      </c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75" t="s">
        <v>3451</v>
      </c>
      <c r="S71" s="640"/>
      <c r="T71" s="1084" t="s">
        <v>252</v>
      </c>
      <c r="U71" s="642" t="s">
        <v>67</v>
      </c>
    </row>
    <row r="72" spans="1:22" ht="14.4" thickBot="1" x14ac:dyDescent="0.3">
      <c r="A72" s="606"/>
      <c r="B72" s="1168"/>
      <c r="C72" s="1164"/>
      <c r="D72" s="1164"/>
      <c r="E72" s="1164"/>
      <c r="F72" s="1166"/>
      <c r="G72" s="1166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378" t="s">
        <v>3452</v>
      </c>
      <c r="S72" s="631"/>
      <c r="T72" s="1087"/>
      <c r="U72" s="637"/>
    </row>
    <row r="73" spans="1:22" x14ac:dyDescent="0.25">
      <c r="A73" s="604" t="s">
        <v>3453</v>
      </c>
      <c r="B73" s="963" t="s">
        <v>3454</v>
      </c>
      <c r="C73" s="645">
        <v>0</v>
      </c>
      <c r="D73" s="645">
        <v>1.1200000000000001</v>
      </c>
      <c r="E73" s="645">
        <v>1.1200000000000001</v>
      </c>
      <c r="F73" s="640">
        <f>D73*6*1000</f>
        <v>6720.0000000000009</v>
      </c>
      <c r="G73" s="640" t="s">
        <v>32</v>
      </c>
      <c r="H73" s="640"/>
      <c r="I73" s="640"/>
      <c r="J73" s="640"/>
      <c r="K73" s="640"/>
      <c r="L73" s="640"/>
      <c r="M73" s="640"/>
      <c r="N73" s="640"/>
      <c r="O73" s="640"/>
      <c r="P73" s="640"/>
      <c r="Q73" s="640"/>
      <c r="R73" s="377" t="s">
        <v>3455</v>
      </c>
      <c r="S73" s="640"/>
      <c r="T73" s="1084" t="s">
        <v>252</v>
      </c>
      <c r="U73" s="642"/>
      <c r="V73" s="60"/>
    </row>
    <row r="74" spans="1:22" ht="14.4" thickBot="1" x14ac:dyDescent="0.3">
      <c r="A74" s="606"/>
      <c r="B74" s="964"/>
      <c r="C74" s="646"/>
      <c r="D74" s="646"/>
      <c r="E74" s="646"/>
      <c r="F74" s="631"/>
      <c r="G74" s="631"/>
      <c r="H74" s="631"/>
      <c r="I74" s="631"/>
      <c r="J74" s="631"/>
      <c r="K74" s="631"/>
      <c r="L74" s="631"/>
      <c r="M74" s="631"/>
      <c r="N74" s="631"/>
      <c r="O74" s="631"/>
      <c r="P74" s="631"/>
      <c r="Q74" s="631"/>
      <c r="R74" s="374" t="s">
        <v>3456</v>
      </c>
      <c r="S74" s="631"/>
      <c r="T74" s="1087"/>
      <c r="U74" s="637"/>
    </row>
    <row r="75" spans="1:22" x14ac:dyDescent="0.25">
      <c r="A75" s="604" t="s">
        <v>3457</v>
      </c>
      <c r="B75" s="607" t="s">
        <v>3458</v>
      </c>
      <c r="C75" s="30">
        <v>0</v>
      </c>
      <c r="D75" s="30">
        <v>0.21</v>
      </c>
      <c r="E75" s="610">
        <v>0.57999999999999996</v>
      </c>
      <c r="F75" s="640">
        <f>E75*6*1000</f>
        <v>3479.9999999999995</v>
      </c>
      <c r="G75" s="640" t="s">
        <v>32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75" t="s">
        <v>3459</v>
      </c>
      <c r="S75" s="640"/>
      <c r="T75" s="1084" t="s">
        <v>252</v>
      </c>
      <c r="U75" s="642" t="s">
        <v>67</v>
      </c>
    </row>
    <row r="76" spans="1:22" x14ac:dyDescent="0.25">
      <c r="A76" s="605"/>
      <c r="B76" s="608"/>
      <c r="C76" s="10">
        <v>0.21</v>
      </c>
      <c r="D76" s="10">
        <v>0.44</v>
      </c>
      <c r="E76" s="611"/>
      <c r="F76" s="621"/>
      <c r="G76" s="621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373" t="s">
        <v>3460</v>
      </c>
      <c r="S76" s="621"/>
      <c r="T76" s="1085"/>
      <c r="U76" s="636"/>
    </row>
    <row r="77" spans="1:22" ht="14.4" thickBot="1" x14ac:dyDescent="0.3">
      <c r="A77" s="606"/>
      <c r="B77" s="609"/>
      <c r="C77" s="16">
        <v>0.44</v>
      </c>
      <c r="D77" s="16">
        <v>0.57999999999999996</v>
      </c>
      <c r="E77" s="612"/>
      <c r="F77" s="631"/>
      <c r="G77" s="631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374" t="s">
        <v>3461</v>
      </c>
      <c r="S77" s="631"/>
      <c r="T77" s="1087"/>
      <c r="U77" s="637"/>
    </row>
    <row r="78" spans="1:22" x14ac:dyDescent="0.25">
      <c r="A78" s="604" t="s">
        <v>3462</v>
      </c>
      <c r="B78" s="607" t="s">
        <v>3463</v>
      </c>
      <c r="C78" s="610">
        <v>0</v>
      </c>
      <c r="D78" s="610">
        <v>0.22</v>
      </c>
      <c r="E78" s="610">
        <v>0.71</v>
      </c>
      <c r="F78" s="640">
        <f>E78*6*1000</f>
        <v>4260</v>
      </c>
      <c r="G78" s="640" t="s">
        <v>32</v>
      </c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75" t="s">
        <v>3464</v>
      </c>
      <c r="S78" s="640"/>
      <c r="T78" s="1084" t="s">
        <v>252</v>
      </c>
      <c r="U78" s="642" t="s">
        <v>67</v>
      </c>
    </row>
    <row r="79" spans="1:22" x14ac:dyDescent="0.25">
      <c r="A79" s="605"/>
      <c r="B79" s="608"/>
      <c r="C79" s="611"/>
      <c r="D79" s="611"/>
      <c r="E79" s="611"/>
      <c r="F79" s="621"/>
      <c r="G79" s="621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373" t="s">
        <v>3465</v>
      </c>
      <c r="S79" s="621"/>
      <c r="T79" s="1085"/>
      <c r="U79" s="636"/>
    </row>
    <row r="80" spans="1:22" ht="14.4" thickBot="1" x14ac:dyDescent="0.3">
      <c r="A80" s="606"/>
      <c r="B80" s="609"/>
      <c r="C80" s="16">
        <v>0.22</v>
      </c>
      <c r="D80" s="16">
        <v>0.71</v>
      </c>
      <c r="E80" s="612"/>
      <c r="F80" s="631"/>
      <c r="G80" s="631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374" t="s">
        <v>3466</v>
      </c>
      <c r="S80" s="631"/>
      <c r="T80" s="1087"/>
      <c r="U80" s="637"/>
    </row>
    <row r="81" spans="1:21" x14ac:dyDescent="0.25">
      <c r="A81" s="604" t="s">
        <v>3467</v>
      </c>
      <c r="B81" s="607" t="s">
        <v>3468</v>
      </c>
      <c r="C81" s="645">
        <v>0</v>
      </c>
      <c r="D81" s="645">
        <v>0.25</v>
      </c>
      <c r="E81" s="645">
        <v>0.28000000000000003</v>
      </c>
      <c r="F81" s="640">
        <f>E81*5*1000</f>
        <v>1400.0000000000002</v>
      </c>
      <c r="G81" s="640" t="s">
        <v>32</v>
      </c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75" t="s">
        <v>3469</v>
      </c>
      <c r="S81" s="640"/>
      <c r="T81" s="1084" t="s">
        <v>252</v>
      </c>
      <c r="U81" s="642"/>
    </row>
    <row r="82" spans="1:21" x14ac:dyDescent="0.25">
      <c r="A82" s="605"/>
      <c r="B82" s="608"/>
      <c r="C82" s="654"/>
      <c r="D82" s="654"/>
      <c r="E82" s="654"/>
      <c r="F82" s="621"/>
      <c r="G82" s="621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373" t="s">
        <v>3470</v>
      </c>
      <c r="S82" s="621"/>
      <c r="T82" s="1085"/>
      <c r="U82" s="636"/>
    </row>
    <row r="83" spans="1:21" ht="14.4" thickBot="1" x14ac:dyDescent="0.3">
      <c r="A83" s="606"/>
      <c r="B83" s="609"/>
      <c r="C83" s="46">
        <v>0.25</v>
      </c>
      <c r="D83" s="46">
        <v>0.28000000000000003</v>
      </c>
      <c r="E83" s="646"/>
      <c r="F83" s="631"/>
      <c r="G83" s="631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374" t="s">
        <v>3471</v>
      </c>
      <c r="S83" s="631"/>
      <c r="T83" s="1087"/>
      <c r="U83" s="637"/>
    </row>
    <row r="84" spans="1:21" x14ac:dyDescent="0.25">
      <c r="A84" s="604" t="s">
        <v>3472</v>
      </c>
      <c r="B84" s="607" t="s">
        <v>3473</v>
      </c>
      <c r="C84" s="645">
        <v>0</v>
      </c>
      <c r="D84" s="645">
        <v>0.28000000000000003</v>
      </c>
      <c r="E84" s="645">
        <v>0.28000000000000003</v>
      </c>
      <c r="F84" s="640">
        <f>E84*5*1000</f>
        <v>1400.0000000000002</v>
      </c>
      <c r="G84" s="640" t="s">
        <v>32</v>
      </c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75" t="s">
        <v>3474</v>
      </c>
      <c r="S84" s="640"/>
      <c r="T84" s="1084" t="s">
        <v>252</v>
      </c>
      <c r="U84" s="642"/>
    </row>
    <row r="85" spans="1:21" ht="14.4" thickBot="1" x14ac:dyDescent="0.3">
      <c r="A85" s="606"/>
      <c r="B85" s="609"/>
      <c r="C85" s="646"/>
      <c r="D85" s="646"/>
      <c r="E85" s="646"/>
      <c r="F85" s="631"/>
      <c r="G85" s="631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374" t="s">
        <v>3475</v>
      </c>
      <c r="S85" s="631"/>
      <c r="T85" s="1087"/>
      <c r="U85" s="637"/>
    </row>
    <row r="86" spans="1:21" x14ac:dyDescent="0.25">
      <c r="A86" s="604" t="s">
        <v>3476</v>
      </c>
      <c r="B86" s="607" t="s">
        <v>3477</v>
      </c>
      <c r="C86" s="30">
        <v>0</v>
      </c>
      <c r="D86" s="30">
        <v>0.13</v>
      </c>
      <c r="E86" s="610">
        <v>1.68</v>
      </c>
      <c r="F86" s="640">
        <f>D96*6*1000</f>
        <v>10080</v>
      </c>
      <c r="G86" s="640" t="s">
        <v>32</v>
      </c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75" t="s">
        <v>3478</v>
      </c>
      <c r="S86" s="640"/>
      <c r="T86" s="1084" t="s">
        <v>252</v>
      </c>
      <c r="U86" s="642"/>
    </row>
    <row r="87" spans="1:21" x14ac:dyDescent="0.25">
      <c r="A87" s="605"/>
      <c r="B87" s="608"/>
      <c r="C87" s="611">
        <v>0.13</v>
      </c>
      <c r="D87" s="611">
        <v>0.28000000000000003</v>
      </c>
      <c r="E87" s="611"/>
      <c r="F87" s="621"/>
      <c r="G87" s="621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373" t="s">
        <v>3478</v>
      </c>
      <c r="S87" s="621"/>
      <c r="T87" s="1085"/>
      <c r="U87" s="636"/>
    </row>
    <row r="88" spans="1:21" x14ac:dyDescent="0.25">
      <c r="A88" s="605"/>
      <c r="B88" s="608"/>
      <c r="C88" s="611"/>
      <c r="D88" s="611"/>
      <c r="E88" s="611"/>
      <c r="F88" s="621"/>
      <c r="G88" s="621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373" t="s">
        <v>3479</v>
      </c>
      <c r="S88" s="621"/>
      <c r="T88" s="1085"/>
      <c r="U88" s="636"/>
    </row>
    <row r="89" spans="1:21" x14ac:dyDescent="0.25">
      <c r="A89" s="605"/>
      <c r="B89" s="608"/>
      <c r="C89" s="611">
        <v>0.28000000000000003</v>
      </c>
      <c r="D89" s="611">
        <v>0.43</v>
      </c>
      <c r="E89" s="611"/>
      <c r="F89" s="621"/>
      <c r="G89" s="621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373" t="s">
        <v>3478</v>
      </c>
      <c r="S89" s="621"/>
      <c r="T89" s="1085"/>
      <c r="U89" s="636"/>
    </row>
    <row r="90" spans="1:21" x14ac:dyDescent="0.25">
      <c r="A90" s="605"/>
      <c r="B90" s="608"/>
      <c r="C90" s="611"/>
      <c r="D90" s="611"/>
      <c r="E90" s="611"/>
      <c r="F90" s="621"/>
      <c r="G90" s="621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373" t="s">
        <v>3480</v>
      </c>
      <c r="S90" s="621"/>
      <c r="T90" s="1085"/>
      <c r="U90" s="636"/>
    </row>
    <row r="91" spans="1:21" x14ac:dyDescent="0.25">
      <c r="A91" s="605"/>
      <c r="B91" s="608"/>
      <c r="C91" s="611">
        <v>0.43</v>
      </c>
      <c r="D91" s="611">
        <v>0.53</v>
      </c>
      <c r="E91" s="611"/>
      <c r="F91" s="621"/>
      <c r="G91" s="621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373" t="s">
        <v>3478</v>
      </c>
      <c r="S91" s="621"/>
      <c r="T91" s="1085"/>
      <c r="U91" s="636"/>
    </row>
    <row r="92" spans="1:21" x14ac:dyDescent="0.25">
      <c r="A92" s="605"/>
      <c r="B92" s="608"/>
      <c r="C92" s="611"/>
      <c r="D92" s="611"/>
      <c r="E92" s="611"/>
      <c r="F92" s="621"/>
      <c r="G92" s="621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373" t="s">
        <v>3481</v>
      </c>
      <c r="S92" s="621"/>
      <c r="T92" s="1085"/>
      <c r="U92" s="636"/>
    </row>
    <row r="93" spans="1:21" x14ac:dyDescent="0.25">
      <c r="A93" s="605"/>
      <c r="B93" s="608"/>
      <c r="C93" s="10">
        <v>0.53</v>
      </c>
      <c r="D93" s="10">
        <v>0.63</v>
      </c>
      <c r="E93" s="611"/>
      <c r="F93" s="621"/>
      <c r="G93" s="621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373" t="s">
        <v>3481</v>
      </c>
      <c r="S93" s="621"/>
      <c r="T93" s="1085"/>
      <c r="U93" s="636"/>
    </row>
    <row r="94" spans="1:21" x14ac:dyDescent="0.25">
      <c r="A94" s="605"/>
      <c r="B94" s="608"/>
      <c r="C94" s="10">
        <v>0.63</v>
      </c>
      <c r="D94" s="10">
        <v>0.8</v>
      </c>
      <c r="E94" s="611"/>
      <c r="F94" s="621"/>
      <c r="G94" s="621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373" t="s">
        <v>3482</v>
      </c>
      <c r="S94" s="621"/>
      <c r="T94" s="1085"/>
      <c r="U94" s="636"/>
    </row>
    <row r="95" spans="1:21" x14ac:dyDescent="0.25">
      <c r="A95" s="605"/>
      <c r="B95" s="608"/>
      <c r="C95" s="10">
        <v>0.8</v>
      </c>
      <c r="D95" s="10">
        <v>1.5</v>
      </c>
      <c r="E95" s="611"/>
      <c r="F95" s="621"/>
      <c r="G95" s="621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373" t="s">
        <v>3483</v>
      </c>
      <c r="S95" s="621"/>
      <c r="T95" s="1085"/>
      <c r="U95" s="636"/>
    </row>
    <row r="96" spans="1:21" ht="14.4" thickBot="1" x14ac:dyDescent="0.3">
      <c r="A96" s="606"/>
      <c r="B96" s="609"/>
      <c r="C96" s="16">
        <v>1.5</v>
      </c>
      <c r="D96" s="16">
        <v>1.68</v>
      </c>
      <c r="E96" s="612"/>
      <c r="F96" s="631"/>
      <c r="G96" s="631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374" t="s">
        <v>3484</v>
      </c>
      <c r="S96" s="631"/>
      <c r="T96" s="1087"/>
      <c r="U96" s="637"/>
    </row>
    <row r="97" spans="1:32" x14ac:dyDescent="0.25">
      <c r="I97" s="389"/>
      <c r="U97" s="462"/>
    </row>
    <row r="98" spans="1:32" ht="24" x14ac:dyDescent="0.25">
      <c r="B98" s="61" t="s">
        <v>202</v>
      </c>
      <c r="I98" s="389"/>
      <c r="U98" s="462"/>
    </row>
    <row r="99" spans="1:32" ht="24" x14ac:dyDescent="0.25">
      <c r="B99" s="61" t="s">
        <v>203</v>
      </c>
      <c r="I99" s="389"/>
      <c r="U99" s="462"/>
    </row>
    <row r="100" spans="1:32" ht="24" x14ac:dyDescent="0.25">
      <c r="B100" s="61" t="s">
        <v>204</v>
      </c>
      <c r="I100" s="389"/>
      <c r="U100" s="462"/>
    </row>
    <row r="101" spans="1:32" ht="24" x14ac:dyDescent="0.25">
      <c r="B101" s="61" t="s">
        <v>205</v>
      </c>
      <c r="I101" s="389"/>
    </row>
    <row r="103" spans="1:32" ht="27.6" customHeight="1" x14ac:dyDescent="0.25">
      <c r="A103" s="509"/>
      <c r="B103" s="509"/>
      <c r="C103" s="512" t="s">
        <v>3985</v>
      </c>
      <c r="D103" s="543" t="s">
        <v>3986</v>
      </c>
      <c r="E103" s="543"/>
      <c r="F103" s="543"/>
      <c r="G103" s="509"/>
      <c r="H103" s="509"/>
      <c r="I103" s="509"/>
      <c r="J103" s="509"/>
      <c r="K103" s="509"/>
      <c r="L103" s="509"/>
      <c r="M103" s="509"/>
      <c r="N103" s="509"/>
      <c r="O103" s="509"/>
      <c r="P103" s="509"/>
      <c r="Q103" s="509"/>
      <c r="R103" s="509"/>
      <c r="S103" s="509"/>
      <c r="T103" s="509"/>
      <c r="U103" s="509"/>
      <c r="V103" s="509"/>
      <c r="W103" s="509"/>
      <c r="X103" s="509"/>
      <c r="Y103" s="509"/>
      <c r="Z103" s="509"/>
      <c r="AA103" s="509"/>
      <c r="AB103" s="509"/>
      <c r="AC103" s="509"/>
      <c r="AD103" s="509"/>
      <c r="AE103" s="510"/>
      <c r="AF103" s="510"/>
    </row>
    <row r="104" spans="1:32" x14ac:dyDescent="0.25">
      <c r="A104" s="509"/>
      <c r="B104" s="509"/>
      <c r="C104" s="509"/>
      <c r="D104" s="509"/>
      <c r="E104" s="509"/>
      <c r="F104" s="509"/>
      <c r="G104" s="509"/>
      <c r="H104" s="509"/>
      <c r="I104" s="509"/>
      <c r="J104" s="509"/>
      <c r="K104" s="509"/>
      <c r="L104" s="509"/>
      <c r="M104" s="509"/>
      <c r="N104" s="509"/>
      <c r="O104" s="509"/>
      <c r="P104" s="509"/>
      <c r="Q104" s="509"/>
      <c r="R104" s="509"/>
      <c r="S104" s="509"/>
      <c r="T104" s="509"/>
      <c r="U104" s="509"/>
      <c r="V104" s="509"/>
      <c r="W104" s="509"/>
      <c r="X104" s="509"/>
      <c r="Y104" s="509"/>
      <c r="Z104" s="509"/>
      <c r="AA104" s="509"/>
      <c r="AB104" s="509"/>
      <c r="AC104" s="509"/>
      <c r="AD104" s="509"/>
      <c r="AE104" s="510"/>
      <c r="AF104" s="510"/>
    </row>
    <row r="105" spans="1:32" x14ac:dyDescent="0.25">
      <c r="A105" s="509"/>
      <c r="B105" s="509"/>
      <c r="C105" s="509"/>
      <c r="D105" s="509"/>
      <c r="E105" s="509"/>
      <c r="F105" s="509"/>
      <c r="G105" s="509"/>
      <c r="H105" s="509"/>
      <c r="I105" s="509"/>
      <c r="J105" s="509"/>
      <c r="K105" s="509"/>
      <c r="L105" s="509"/>
      <c r="M105" s="509"/>
      <c r="N105" s="509"/>
      <c r="O105" s="509"/>
      <c r="P105" s="509"/>
      <c r="Q105" s="509"/>
      <c r="R105" s="509"/>
      <c r="S105" s="509"/>
      <c r="T105" s="509"/>
      <c r="U105" s="509"/>
      <c r="V105" s="509"/>
      <c r="W105" s="509"/>
      <c r="X105" s="509"/>
      <c r="Y105" s="509"/>
      <c r="Z105" s="509"/>
      <c r="AA105" s="509"/>
      <c r="AB105" s="509"/>
      <c r="AC105" s="509"/>
      <c r="AD105" s="509"/>
      <c r="AE105" s="417"/>
      <c r="AF105" s="510"/>
    </row>
    <row r="106" spans="1:32" x14ac:dyDescent="0.25">
      <c r="B106" s="60"/>
      <c r="C106" s="438" t="s">
        <v>3989</v>
      </c>
      <c r="D106" s="544" t="s">
        <v>3990</v>
      </c>
      <c r="E106" s="544"/>
      <c r="F106" s="544"/>
      <c r="G106" s="544"/>
      <c r="H106" s="544"/>
      <c r="I106" s="544"/>
      <c r="R106" s="59"/>
      <c r="U106" s="60"/>
    </row>
    <row r="107" spans="1:32" ht="13.95" customHeight="1" x14ac:dyDescent="0.25">
      <c r="B107" s="60"/>
      <c r="C107" s="438" t="s">
        <v>3987</v>
      </c>
      <c r="D107" s="553" t="s">
        <v>3988</v>
      </c>
      <c r="E107" s="553"/>
      <c r="F107" s="553"/>
      <c r="G107" s="553"/>
      <c r="H107" s="553"/>
      <c r="I107" s="553"/>
      <c r="R107" s="59"/>
      <c r="U107" s="60"/>
    </row>
    <row r="108" spans="1:32" ht="14.4" customHeight="1" x14ac:dyDescent="0.25">
      <c r="R108" s="59"/>
      <c r="U108" s="60"/>
    </row>
    <row r="109" spans="1:32" x14ac:dyDescent="0.25">
      <c r="A109" s="469"/>
      <c r="B109" s="743" t="s">
        <v>3984</v>
      </c>
      <c r="C109" s="743"/>
      <c r="D109" s="743"/>
      <c r="E109" s="743"/>
      <c r="F109" s="743"/>
      <c r="G109" s="743"/>
      <c r="H109" s="743"/>
      <c r="I109" s="743"/>
      <c r="R109" s="59"/>
      <c r="T109" s="304"/>
      <c r="U109" s="304"/>
    </row>
  </sheetData>
  <mergeCells count="306">
    <mergeCell ref="D106:I106"/>
    <mergeCell ref="D107:I107"/>
    <mergeCell ref="B109:I109"/>
    <mergeCell ref="C87:C88"/>
    <mergeCell ref="D87:D88"/>
    <mergeCell ref="C89:C90"/>
    <mergeCell ref="D89:D90"/>
    <mergeCell ref="C91:C92"/>
    <mergeCell ref="D91:D92"/>
    <mergeCell ref="A86:A96"/>
    <mergeCell ref="B86:B96"/>
    <mergeCell ref="E86:E96"/>
    <mergeCell ref="F86:F96"/>
    <mergeCell ref="G86:G96"/>
    <mergeCell ref="S86:S96"/>
    <mergeCell ref="T86:T96"/>
    <mergeCell ref="U86:U96"/>
    <mergeCell ref="D103:F103"/>
    <mergeCell ref="U81:U83"/>
    <mergeCell ref="A84:A85"/>
    <mergeCell ref="B84:B85"/>
    <mergeCell ref="C84:C85"/>
    <mergeCell ref="D84:D85"/>
    <mergeCell ref="E84:E85"/>
    <mergeCell ref="F84:F85"/>
    <mergeCell ref="G84:G85"/>
    <mergeCell ref="S84:S85"/>
    <mergeCell ref="A81:A83"/>
    <mergeCell ref="B81:B83"/>
    <mergeCell ref="C81:C82"/>
    <mergeCell ref="D81:D82"/>
    <mergeCell ref="E81:E83"/>
    <mergeCell ref="F81:F83"/>
    <mergeCell ref="G81:G83"/>
    <mergeCell ref="S81:S83"/>
    <mergeCell ref="T81:T83"/>
    <mergeCell ref="T84:T85"/>
    <mergeCell ref="U84:U85"/>
    <mergeCell ref="T75:T77"/>
    <mergeCell ref="U75:U77"/>
    <mergeCell ref="A78:A80"/>
    <mergeCell ref="B78:B80"/>
    <mergeCell ref="C78:C79"/>
    <mergeCell ref="D78:D79"/>
    <mergeCell ref="E78:E80"/>
    <mergeCell ref="F78:F80"/>
    <mergeCell ref="G78:G80"/>
    <mergeCell ref="S78:S80"/>
    <mergeCell ref="A75:A77"/>
    <mergeCell ref="B75:B77"/>
    <mergeCell ref="E75:E77"/>
    <mergeCell ref="F75:F77"/>
    <mergeCell ref="G75:G77"/>
    <mergeCell ref="S75:S77"/>
    <mergeCell ref="T78:T80"/>
    <mergeCell ref="U78:U80"/>
    <mergeCell ref="U71:U72"/>
    <mergeCell ref="A73:A74"/>
    <mergeCell ref="B73:B74"/>
    <mergeCell ref="C73:C74"/>
    <mergeCell ref="D73:D74"/>
    <mergeCell ref="E73:E74"/>
    <mergeCell ref="F73:F74"/>
    <mergeCell ref="G73:G74"/>
    <mergeCell ref="H73:H74"/>
    <mergeCell ref="O73:O74"/>
    <mergeCell ref="P73:P74"/>
    <mergeCell ref="Q73:Q74"/>
    <mergeCell ref="S73:S74"/>
    <mergeCell ref="T73:T74"/>
    <mergeCell ref="U73:U74"/>
    <mergeCell ref="I73:I74"/>
    <mergeCell ref="J73:J74"/>
    <mergeCell ref="K73:K74"/>
    <mergeCell ref="L73:L74"/>
    <mergeCell ref="M73:M74"/>
    <mergeCell ref="N73:N74"/>
    <mergeCell ref="A71:A72"/>
    <mergeCell ref="B71:B72"/>
    <mergeCell ref="C71:C72"/>
    <mergeCell ref="D71:D72"/>
    <mergeCell ref="E71:E72"/>
    <mergeCell ref="F71:F72"/>
    <mergeCell ref="G71:G72"/>
    <mergeCell ref="S71:S72"/>
    <mergeCell ref="T71:T72"/>
    <mergeCell ref="G65:G67"/>
    <mergeCell ref="S65:S67"/>
    <mergeCell ref="T65:T67"/>
    <mergeCell ref="U65:U67"/>
    <mergeCell ref="A68:A70"/>
    <mergeCell ref="B68:B70"/>
    <mergeCell ref="E68:E70"/>
    <mergeCell ref="F68:F70"/>
    <mergeCell ref="G68:G70"/>
    <mergeCell ref="S68:S70"/>
    <mergeCell ref="A65:A67"/>
    <mergeCell ref="B65:B67"/>
    <mergeCell ref="C65:C66"/>
    <mergeCell ref="D65:D66"/>
    <mergeCell ref="E65:E67"/>
    <mergeCell ref="F65:F67"/>
    <mergeCell ref="T68:T70"/>
    <mergeCell ref="U68:U70"/>
    <mergeCell ref="G61:G64"/>
    <mergeCell ref="S61:S64"/>
    <mergeCell ref="T61:T64"/>
    <mergeCell ref="U61:U64"/>
    <mergeCell ref="C63:C64"/>
    <mergeCell ref="D63:D64"/>
    <mergeCell ref="A61:A64"/>
    <mergeCell ref="B61:B64"/>
    <mergeCell ref="C61:C62"/>
    <mergeCell ref="D61:D62"/>
    <mergeCell ref="E61:E64"/>
    <mergeCell ref="F61:F64"/>
    <mergeCell ref="I45:I46"/>
    <mergeCell ref="J45:J46"/>
    <mergeCell ref="K45:K46"/>
    <mergeCell ref="P48:P56"/>
    <mergeCell ref="Q48:Q56"/>
    <mergeCell ref="S48:S56"/>
    <mergeCell ref="T48:T56"/>
    <mergeCell ref="U48:U56"/>
    <mergeCell ref="C53:C56"/>
    <mergeCell ref="D53:D56"/>
    <mergeCell ref="J48:J56"/>
    <mergeCell ref="K48:K56"/>
    <mergeCell ref="L48:L56"/>
    <mergeCell ref="M48:M56"/>
    <mergeCell ref="N48:N56"/>
    <mergeCell ref="O48:O56"/>
    <mergeCell ref="A45:A46"/>
    <mergeCell ref="B45:B46"/>
    <mergeCell ref="C45:C46"/>
    <mergeCell ref="D45:D46"/>
    <mergeCell ref="E45:E46"/>
    <mergeCell ref="S45:S46"/>
    <mergeCell ref="T45:T46"/>
    <mergeCell ref="U45:U46"/>
    <mergeCell ref="A48:A56"/>
    <mergeCell ref="B48:B56"/>
    <mergeCell ref="E48:E56"/>
    <mergeCell ref="F48:F56"/>
    <mergeCell ref="G48:G56"/>
    <mergeCell ref="H48:H56"/>
    <mergeCell ref="I48:I56"/>
    <mergeCell ref="L45:L46"/>
    <mergeCell ref="M45:M46"/>
    <mergeCell ref="N45:N46"/>
    <mergeCell ref="O45:O46"/>
    <mergeCell ref="P45:P46"/>
    <mergeCell ref="Q45:Q46"/>
    <mergeCell ref="F45:F46"/>
    <mergeCell ref="G45:G46"/>
    <mergeCell ref="H45:H46"/>
    <mergeCell ref="A42:A44"/>
    <mergeCell ref="B42:B44"/>
    <mergeCell ref="E42:E44"/>
    <mergeCell ref="F42:F44"/>
    <mergeCell ref="G42:G44"/>
    <mergeCell ref="S42:S44"/>
    <mergeCell ref="T42:T44"/>
    <mergeCell ref="U42:U44"/>
    <mergeCell ref="C43:C44"/>
    <mergeCell ref="D43:D44"/>
    <mergeCell ref="U34:U36"/>
    <mergeCell ref="A37:A41"/>
    <mergeCell ref="B37:B41"/>
    <mergeCell ref="C37:C38"/>
    <mergeCell ref="D37:D38"/>
    <mergeCell ref="E37:E41"/>
    <mergeCell ref="F37:F41"/>
    <mergeCell ref="G37:G41"/>
    <mergeCell ref="S37:S41"/>
    <mergeCell ref="T37:T41"/>
    <mergeCell ref="U37:U41"/>
    <mergeCell ref="C39:C40"/>
    <mergeCell ref="D39:D40"/>
    <mergeCell ref="A34:A36"/>
    <mergeCell ref="B34:B36"/>
    <mergeCell ref="C34:C35"/>
    <mergeCell ref="D34:D35"/>
    <mergeCell ref="E34:E36"/>
    <mergeCell ref="F34:F36"/>
    <mergeCell ref="G34:G36"/>
    <mergeCell ref="S34:S36"/>
    <mergeCell ref="T34:T36"/>
    <mergeCell ref="A28:A31"/>
    <mergeCell ref="B28:B31"/>
    <mergeCell ref="E28:E31"/>
    <mergeCell ref="F28:F31"/>
    <mergeCell ref="G28:G31"/>
    <mergeCell ref="S28:S31"/>
    <mergeCell ref="T28:T31"/>
    <mergeCell ref="U28:U31"/>
    <mergeCell ref="C30:C31"/>
    <mergeCell ref="D30:D31"/>
    <mergeCell ref="U21:U22"/>
    <mergeCell ref="A23:A26"/>
    <mergeCell ref="B23:B26"/>
    <mergeCell ref="E23:E26"/>
    <mergeCell ref="F23:F26"/>
    <mergeCell ref="G23:G26"/>
    <mergeCell ref="S23:S26"/>
    <mergeCell ref="T23:T26"/>
    <mergeCell ref="U23:U26"/>
    <mergeCell ref="C24:C26"/>
    <mergeCell ref="D24:D26"/>
    <mergeCell ref="A21:A22"/>
    <mergeCell ref="B21:B22"/>
    <mergeCell ref="C21:C22"/>
    <mergeCell ref="D21:D22"/>
    <mergeCell ref="E21:E22"/>
    <mergeCell ref="F21:F22"/>
    <mergeCell ref="G21:G22"/>
    <mergeCell ref="S21:S22"/>
    <mergeCell ref="T21:T22"/>
    <mergeCell ref="T16:T17"/>
    <mergeCell ref="U16:U17"/>
    <mergeCell ref="A18:A20"/>
    <mergeCell ref="B18:B20"/>
    <mergeCell ref="C18:C19"/>
    <mergeCell ref="D18:D19"/>
    <mergeCell ref="E18:E20"/>
    <mergeCell ref="F18:F20"/>
    <mergeCell ref="G18:G20"/>
    <mergeCell ref="M16:M17"/>
    <mergeCell ref="N16:N17"/>
    <mergeCell ref="O16:O17"/>
    <mergeCell ref="P16:P17"/>
    <mergeCell ref="Q16:Q17"/>
    <mergeCell ref="R16:R17"/>
    <mergeCell ref="S18:S20"/>
    <mergeCell ref="T18:T20"/>
    <mergeCell ref="U18:U20"/>
    <mergeCell ref="A16:A17"/>
    <mergeCell ref="B16:B17"/>
    <mergeCell ref="E16:E17"/>
    <mergeCell ref="H16:H17"/>
    <mergeCell ref="I16:I17"/>
    <mergeCell ref="J16:J17"/>
    <mergeCell ref="K16:K17"/>
    <mergeCell ref="L16:L17"/>
    <mergeCell ref="S16:S17"/>
    <mergeCell ref="Q12:Q13"/>
    <mergeCell ref="R12:R13"/>
    <mergeCell ref="S12:S13"/>
    <mergeCell ref="T12:T13"/>
    <mergeCell ref="U12:U13"/>
    <mergeCell ref="A14:A15"/>
    <mergeCell ref="B14:B15"/>
    <mergeCell ref="E14:E15"/>
    <mergeCell ref="R14:R15"/>
    <mergeCell ref="S14:S15"/>
    <mergeCell ref="K12:K13"/>
    <mergeCell ref="L12:L13"/>
    <mergeCell ref="M12:M13"/>
    <mergeCell ref="N12:N13"/>
    <mergeCell ref="O12:O13"/>
    <mergeCell ref="P12:P13"/>
    <mergeCell ref="A12:A13"/>
    <mergeCell ref="B12:B13"/>
    <mergeCell ref="E12:E13"/>
    <mergeCell ref="H12:H13"/>
    <mergeCell ref="I12:I13"/>
    <mergeCell ref="J12:J13"/>
    <mergeCell ref="T14:T15"/>
    <mergeCell ref="U14:U15"/>
    <mergeCell ref="S7:S11"/>
    <mergeCell ref="T7:T11"/>
    <mergeCell ref="U7:U11"/>
    <mergeCell ref="C9:C10"/>
    <mergeCell ref="D9:D10"/>
    <mergeCell ref="N4:N5"/>
    <mergeCell ref="O4:O5"/>
    <mergeCell ref="P4:P5"/>
    <mergeCell ref="Q4:Q5"/>
    <mergeCell ref="R4:R5"/>
    <mergeCell ref="A7:A11"/>
    <mergeCell ref="B7:B11"/>
    <mergeCell ref="C7:C8"/>
    <mergeCell ref="D7:D8"/>
    <mergeCell ref="E7:E11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F7:F11"/>
    <mergeCell ref="G7:G11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ECE1-35E7-449E-BEC4-EDB8F08A0168}">
  <dimension ref="A1:BJ147"/>
  <sheetViews>
    <sheetView topLeftCell="A118" workbookViewId="0">
      <selection activeCell="T140" sqref="T140"/>
    </sheetView>
  </sheetViews>
  <sheetFormatPr defaultRowHeight="14.4" x14ac:dyDescent="0.3"/>
  <cols>
    <col min="1" max="1" width="14.33203125" bestFit="1" customWidth="1"/>
    <col min="2" max="2" width="26.109375" bestFit="1" customWidth="1"/>
    <col min="3" max="3" width="10.6640625" customWidth="1"/>
    <col min="6" max="6" width="10.109375" customWidth="1"/>
    <col min="8" max="8" width="12.33203125" customWidth="1"/>
    <col min="9" max="9" width="22.33203125" customWidth="1"/>
    <col min="10" max="10" width="10.5546875" customWidth="1"/>
    <col min="12" max="12" width="10" customWidth="1"/>
    <col min="13" max="13" width="12" customWidth="1"/>
    <col min="14" max="14" width="12.21875" customWidth="1"/>
    <col min="15" max="15" width="12.109375" customWidth="1"/>
    <col min="18" max="18" width="14.6640625" bestFit="1" customWidth="1"/>
    <col min="19" max="19" width="15.109375" customWidth="1"/>
    <col min="20" max="20" width="46.6640625" customWidth="1"/>
    <col min="21" max="21" width="15.33203125" bestFit="1" customWidth="1"/>
  </cols>
  <sheetData>
    <row r="1" spans="1:21" s="59" customFormat="1" ht="18" thickBot="1" x14ac:dyDescent="0.3">
      <c r="A1" s="589" t="s">
        <v>3992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s="304" customFormat="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7</v>
      </c>
    </row>
    <row r="3" spans="1:21" s="304" customFormat="1" ht="32.4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s="304" customFormat="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s="304" customFormat="1" ht="28.2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s="304" customFormat="1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s="466" customFormat="1" ht="24.6" thickBot="1" x14ac:dyDescent="0.35">
      <c r="A7" s="69" t="s">
        <v>3486</v>
      </c>
      <c r="B7" s="23" t="s">
        <v>3487</v>
      </c>
      <c r="C7" s="41">
        <v>0</v>
      </c>
      <c r="D7" s="41">
        <v>3.96</v>
      </c>
      <c r="E7" s="41">
        <v>3.96</v>
      </c>
      <c r="F7" s="3">
        <v>15791</v>
      </c>
      <c r="G7" s="3" t="s">
        <v>32</v>
      </c>
      <c r="H7" s="3"/>
      <c r="I7" s="3"/>
      <c r="J7" s="3"/>
      <c r="K7" s="3"/>
      <c r="L7" s="3"/>
      <c r="M7" s="3"/>
      <c r="N7" s="3"/>
      <c r="O7" s="3"/>
      <c r="P7" s="3"/>
      <c r="Q7" s="3"/>
      <c r="R7" s="3">
        <v>70940010077</v>
      </c>
      <c r="S7" s="3"/>
      <c r="T7" s="5" t="s">
        <v>31</v>
      </c>
      <c r="U7" s="465"/>
    </row>
    <row r="8" spans="1:21" s="466" customFormat="1" ht="12" x14ac:dyDescent="0.3">
      <c r="A8" s="688" t="s">
        <v>3488</v>
      </c>
      <c r="B8" s="607" t="s">
        <v>3489</v>
      </c>
      <c r="C8" s="43">
        <v>0</v>
      </c>
      <c r="D8" s="43">
        <v>1.1299999999999999</v>
      </c>
      <c r="E8" s="694">
        <v>2.57</v>
      </c>
      <c r="F8" s="662">
        <v>10280</v>
      </c>
      <c r="G8" s="662" t="s">
        <v>32</v>
      </c>
      <c r="H8" s="36"/>
      <c r="I8" s="33"/>
      <c r="J8" s="33"/>
      <c r="K8" s="33"/>
      <c r="L8" s="33"/>
      <c r="M8" s="33"/>
      <c r="N8" s="33"/>
      <c r="O8" s="33"/>
      <c r="P8" s="33"/>
      <c r="Q8" s="33"/>
      <c r="R8" s="33">
        <v>70940010078</v>
      </c>
      <c r="S8" s="413"/>
      <c r="T8" s="642" t="s">
        <v>31</v>
      </c>
      <c r="U8" s="465"/>
    </row>
    <row r="9" spans="1:21" s="466" customFormat="1" ht="15.75" customHeight="1" thickBot="1" x14ac:dyDescent="0.35">
      <c r="A9" s="689"/>
      <c r="B9" s="609"/>
      <c r="C9" s="46">
        <v>1.1299999999999999</v>
      </c>
      <c r="D9" s="46">
        <v>2.57</v>
      </c>
      <c r="E9" s="696"/>
      <c r="F9" s="663"/>
      <c r="G9" s="663"/>
      <c r="H9" s="38"/>
      <c r="I9" s="20"/>
      <c r="J9" s="20"/>
      <c r="K9" s="20"/>
      <c r="L9" s="20"/>
      <c r="M9" s="20"/>
      <c r="N9" s="20"/>
      <c r="O9" s="20"/>
      <c r="P9" s="20"/>
      <c r="Q9" s="20"/>
      <c r="R9" s="20">
        <v>70940040269</v>
      </c>
      <c r="S9" s="20"/>
      <c r="T9" s="637"/>
      <c r="U9" s="465"/>
    </row>
    <row r="10" spans="1:21" s="468" customFormat="1" ht="24" x14ac:dyDescent="0.3">
      <c r="A10" s="688" t="s">
        <v>3490</v>
      </c>
      <c r="B10" s="607" t="s">
        <v>3491</v>
      </c>
      <c r="C10" s="43">
        <v>0</v>
      </c>
      <c r="D10" s="43">
        <v>0.56999999999999995</v>
      </c>
      <c r="E10" s="694">
        <v>2.95</v>
      </c>
      <c r="F10" s="33">
        <v>3429</v>
      </c>
      <c r="G10" s="33" t="s">
        <v>3492</v>
      </c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44">
        <v>70940040382</v>
      </c>
      <c r="S10" s="413"/>
      <c r="T10" s="664" t="s">
        <v>31</v>
      </c>
      <c r="U10" s="467"/>
    </row>
    <row r="11" spans="1:21" s="468" customFormat="1" ht="15" thickBot="1" x14ac:dyDescent="0.35">
      <c r="A11" s="689"/>
      <c r="B11" s="609"/>
      <c r="C11" s="46">
        <v>0.56999999999999995</v>
      </c>
      <c r="D11" s="46">
        <v>2.95</v>
      </c>
      <c r="E11" s="696"/>
      <c r="F11" s="20">
        <v>9525</v>
      </c>
      <c r="G11" s="20" t="s">
        <v>32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>
        <v>70940040381</v>
      </c>
      <c r="S11" s="414"/>
      <c r="T11" s="665"/>
      <c r="U11" s="467"/>
    </row>
    <row r="12" spans="1:21" s="468" customFormat="1" ht="24.6" thickBot="1" x14ac:dyDescent="0.35">
      <c r="A12" s="69" t="s">
        <v>3493</v>
      </c>
      <c r="B12" s="469" t="s">
        <v>3494</v>
      </c>
      <c r="C12" s="41">
        <v>0</v>
      </c>
      <c r="D12" s="41">
        <v>0.56000000000000005</v>
      </c>
      <c r="E12" s="41">
        <v>0.56000000000000005</v>
      </c>
      <c r="F12" s="3">
        <v>3384</v>
      </c>
      <c r="G12" s="3" t="s">
        <v>3492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4">
        <v>70940040292</v>
      </c>
      <c r="S12" s="412"/>
      <c r="T12" s="470" t="s">
        <v>31</v>
      </c>
      <c r="U12" s="467"/>
    </row>
    <row r="13" spans="1:21" s="76" customFormat="1" ht="24" x14ac:dyDescent="0.3">
      <c r="A13" s="688" t="s">
        <v>3495</v>
      </c>
      <c r="B13" s="607" t="s">
        <v>3496</v>
      </c>
      <c r="C13" s="43">
        <v>0</v>
      </c>
      <c r="D13" s="43">
        <v>0.99</v>
      </c>
      <c r="E13" s="694">
        <v>1.06</v>
      </c>
      <c r="F13" s="33">
        <v>5929</v>
      </c>
      <c r="G13" s="33" t="s">
        <v>3492</v>
      </c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>
        <v>70940040264</v>
      </c>
      <c r="S13" s="413"/>
      <c r="T13" s="642" t="s">
        <v>31</v>
      </c>
      <c r="U13" s="471"/>
    </row>
    <row r="14" spans="1:21" s="76" customFormat="1" ht="15" thickBot="1" x14ac:dyDescent="0.35">
      <c r="A14" s="689"/>
      <c r="B14" s="609"/>
      <c r="C14" s="46">
        <v>0.99</v>
      </c>
      <c r="D14" s="46">
        <v>1.06</v>
      </c>
      <c r="E14" s="696"/>
      <c r="F14" s="20">
        <v>440</v>
      </c>
      <c r="G14" s="20" t="s">
        <v>32</v>
      </c>
      <c r="H14" s="57"/>
      <c r="I14" s="20"/>
      <c r="J14" s="20"/>
      <c r="K14" s="20"/>
      <c r="L14" s="20"/>
      <c r="M14" s="20"/>
      <c r="N14" s="20"/>
      <c r="O14" s="20"/>
      <c r="P14" s="20"/>
      <c r="Q14" s="20"/>
      <c r="R14" s="20">
        <v>70940040264</v>
      </c>
      <c r="S14" s="414"/>
      <c r="T14" s="637"/>
      <c r="U14" s="471"/>
    </row>
    <row r="15" spans="1:21" s="468" customFormat="1" ht="24.6" thickBot="1" x14ac:dyDescent="0.35">
      <c r="A15" s="69" t="s">
        <v>3497</v>
      </c>
      <c r="B15" s="23" t="s">
        <v>3498</v>
      </c>
      <c r="C15" s="41">
        <v>0</v>
      </c>
      <c r="D15" s="41">
        <v>1.0900000000000001</v>
      </c>
      <c r="E15" s="41">
        <v>1.0900000000000001</v>
      </c>
      <c r="F15" s="3">
        <v>6542</v>
      </c>
      <c r="G15" s="3" t="s">
        <v>32</v>
      </c>
      <c r="H15" s="39"/>
      <c r="I15" s="3"/>
      <c r="J15" s="3"/>
      <c r="K15" s="3"/>
      <c r="L15" s="3"/>
      <c r="M15" s="3"/>
      <c r="N15" s="3"/>
      <c r="O15" s="3"/>
      <c r="P15" s="3"/>
      <c r="Q15" s="3"/>
      <c r="R15" s="3">
        <v>70940040263</v>
      </c>
      <c r="S15" s="412"/>
      <c r="T15" s="5" t="s">
        <v>31</v>
      </c>
      <c r="U15" s="467"/>
    </row>
    <row r="16" spans="1:21" s="468" customFormat="1" ht="24" customHeight="1" x14ac:dyDescent="0.3">
      <c r="A16" s="847" t="s">
        <v>3499</v>
      </c>
      <c r="B16" s="1169" t="s">
        <v>3500</v>
      </c>
      <c r="C16" s="33">
        <v>0</v>
      </c>
      <c r="D16" s="33">
        <v>0.41</v>
      </c>
      <c r="E16" s="662">
        <v>2.34</v>
      </c>
      <c r="F16" s="33">
        <v>1655</v>
      </c>
      <c r="G16" s="33" t="s">
        <v>32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>
        <v>70940040253</v>
      </c>
      <c r="S16" s="33"/>
      <c r="T16" s="664" t="s">
        <v>31</v>
      </c>
      <c r="U16" s="467"/>
    </row>
    <row r="17" spans="1:24" s="468" customFormat="1" ht="15" thickBot="1" x14ac:dyDescent="0.35">
      <c r="A17" s="849"/>
      <c r="B17" s="1170"/>
      <c r="C17" s="20">
        <v>0.41</v>
      </c>
      <c r="D17" s="20">
        <v>1.93</v>
      </c>
      <c r="E17" s="663"/>
      <c r="F17" s="20">
        <v>12385</v>
      </c>
      <c r="G17" s="20" t="s">
        <v>32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>
        <v>70940030253</v>
      </c>
      <c r="S17" s="20"/>
      <c r="T17" s="665"/>
      <c r="U17" s="467"/>
    </row>
    <row r="18" spans="1:24" s="468" customFormat="1" x14ac:dyDescent="0.3">
      <c r="A18" s="688" t="s">
        <v>3501</v>
      </c>
      <c r="B18" s="607" t="s">
        <v>3502</v>
      </c>
      <c r="C18" s="43">
        <v>0</v>
      </c>
      <c r="D18" s="43">
        <v>0.4</v>
      </c>
      <c r="E18" s="694">
        <v>2.0299999999999998</v>
      </c>
      <c r="F18" s="662">
        <v>12202</v>
      </c>
      <c r="G18" s="662" t="s">
        <v>32</v>
      </c>
      <c r="H18" s="53"/>
      <c r="I18" s="33"/>
      <c r="J18" s="33"/>
      <c r="K18" s="33"/>
      <c r="L18" s="33"/>
      <c r="M18" s="33"/>
      <c r="N18" s="33"/>
      <c r="O18" s="33"/>
      <c r="P18" s="33"/>
      <c r="Q18" s="33"/>
      <c r="R18" s="9">
        <v>70940040362</v>
      </c>
      <c r="S18" s="413"/>
      <c r="T18" s="635" t="s">
        <v>31</v>
      </c>
      <c r="U18" s="1171"/>
    </row>
    <row r="19" spans="1:24" s="468" customFormat="1" ht="15" thickBot="1" x14ac:dyDescent="0.35">
      <c r="A19" s="689"/>
      <c r="B19" s="609"/>
      <c r="C19" s="46">
        <v>0.4</v>
      </c>
      <c r="D19" s="46">
        <v>2.0299999999999998</v>
      </c>
      <c r="E19" s="696"/>
      <c r="F19" s="663"/>
      <c r="G19" s="663"/>
      <c r="H19" s="57"/>
      <c r="I19" s="20"/>
      <c r="J19" s="20"/>
      <c r="K19" s="20"/>
      <c r="L19" s="20"/>
      <c r="M19" s="20"/>
      <c r="N19" s="20"/>
      <c r="O19" s="20"/>
      <c r="P19" s="20"/>
      <c r="Q19" s="20"/>
      <c r="R19" s="20">
        <v>70940030229</v>
      </c>
      <c r="S19" s="414"/>
      <c r="T19" s="637"/>
      <c r="U19" s="1171"/>
    </row>
    <row r="20" spans="1:24" s="468" customFormat="1" ht="24" x14ac:dyDescent="0.3">
      <c r="A20" s="688" t="s">
        <v>3503</v>
      </c>
      <c r="B20" s="607" t="s">
        <v>3504</v>
      </c>
      <c r="C20" s="43">
        <v>0</v>
      </c>
      <c r="D20" s="43">
        <v>3.52</v>
      </c>
      <c r="E20" s="694">
        <v>7.9</v>
      </c>
      <c r="F20" s="662">
        <v>31560</v>
      </c>
      <c r="G20" s="662" t="s">
        <v>32</v>
      </c>
      <c r="H20" s="53" t="s">
        <v>708</v>
      </c>
      <c r="I20" s="33">
        <v>2.25</v>
      </c>
      <c r="J20" s="33" t="s">
        <v>3505</v>
      </c>
      <c r="K20" s="33">
        <v>12.1</v>
      </c>
      <c r="L20" s="33">
        <v>84.7</v>
      </c>
      <c r="M20" s="33"/>
      <c r="N20" s="33"/>
      <c r="O20" s="33" t="s">
        <v>464</v>
      </c>
      <c r="P20" s="33"/>
      <c r="Q20" s="33"/>
      <c r="R20" s="33">
        <v>70940020201</v>
      </c>
      <c r="S20" s="413"/>
      <c r="T20" s="642" t="s">
        <v>31</v>
      </c>
      <c r="U20" s="467"/>
    </row>
    <row r="21" spans="1:24" s="468" customFormat="1" x14ac:dyDescent="0.3">
      <c r="A21" s="690"/>
      <c r="B21" s="608"/>
      <c r="C21" s="48">
        <v>3.52</v>
      </c>
      <c r="D21" s="48">
        <v>4.7699999999999996</v>
      </c>
      <c r="E21" s="695"/>
      <c r="F21" s="714"/>
      <c r="G21" s="714"/>
      <c r="H21" s="93"/>
      <c r="I21" s="14"/>
      <c r="J21" s="14"/>
      <c r="K21" s="14"/>
      <c r="L21" s="14"/>
      <c r="M21" s="14"/>
      <c r="N21" s="14"/>
      <c r="O21" s="14"/>
      <c r="P21" s="14"/>
      <c r="Q21" s="14"/>
      <c r="R21" s="14">
        <v>70940050164</v>
      </c>
      <c r="S21" s="411"/>
      <c r="T21" s="636"/>
      <c r="U21" s="467"/>
    </row>
    <row r="22" spans="1:24" s="468" customFormat="1" x14ac:dyDescent="0.3">
      <c r="A22" s="690"/>
      <c r="B22" s="608"/>
      <c r="C22" s="48">
        <v>4.7699999999999996</v>
      </c>
      <c r="D22" s="48">
        <v>5.83</v>
      </c>
      <c r="E22" s="695"/>
      <c r="F22" s="714"/>
      <c r="G22" s="7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>
        <v>70940050214</v>
      </c>
      <c r="S22" s="411"/>
      <c r="T22" s="636"/>
      <c r="U22" s="467"/>
    </row>
    <row r="23" spans="1:24" s="468" customFormat="1" ht="15" thickBot="1" x14ac:dyDescent="0.35">
      <c r="A23" s="689"/>
      <c r="B23" s="609"/>
      <c r="C23" s="46">
        <v>5.83</v>
      </c>
      <c r="D23" s="46">
        <v>7.9</v>
      </c>
      <c r="E23" s="696"/>
      <c r="F23" s="663"/>
      <c r="G23" s="663"/>
      <c r="H23" s="57"/>
      <c r="I23" s="20"/>
      <c r="J23" s="20"/>
      <c r="K23" s="20"/>
      <c r="L23" s="20"/>
      <c r="M23" s="20"/>
      <c r="N23" s="20"/>
      <c r="O23" s="20"/>
      <c r="P23" s="20"/>
      <c r="Q23" s="20"/>
      <c r="R23" s="20">
        <v>70940060324</v>
      </c>
      <c r="S23" s="414"/>
      <c r="T23" s="637"/>
      <c r="U23" s="467"/>
    </row>
    <row r="24" spans="1:24" s="468" customFormat="1" x14ac:dyDescent="0.3">
      <c r="A24" s="688" t="s">
        <v>3506</v>
      </c>
      <c r="B24" s="607" t="s">
        <v>3507</v>
      </c>
      <c r="C24" s="43">
        <v>0</v>
      </c>
      <c r="D24" s="43">
        <v>1.1499999999999999</v>
      </c>
      <c r="E24" s="694">
        <v>4.41</v>
      </c>
      <c r="F24" s="641">
        <v>17648</v>
      </c>
      <c r="G24" s="641" t="s">
        <v>32</v>
      </c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>
        <v>70940020238</v>
      </c>
      <c r="S24" s="413"/>
      <c r="T24" s="642" t="s">
        <v>31</v>
      </c>
      <c r="U24" s="472"/>
    </row>
    <row r="25" spans="1:24" s="468" customFormat="1" x14ac:dyDescent="0.3">
      <c r="A25" s="690"/>
      <c r="B25" s="608"/>
      <c r="C25" s="48">
        <v>1.1499999999999999</v>
      </c>
      <c r="D25" s="48">
        <v>3.28</v>
      </c>
      <c r="E25" s="695"/>
      <c r="F25" s="633"/>
      <c r="G25" s="63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>
        <v>70940050165</v>
      </c>
      <c r="S25" s="411"/>
      <c r="T25" s="636"/>
      <c r="U25" s="472"/>
    </row>
    <row r="26" spans="1:24" s="468" customFormat="1" ht="17.25" customHeight="1" thickBot="1" x14ac:dyDescent="0.35">
      <c r="A26" s="689"/>
      <c r="B26" s="609"/>
      <c r="C26" s="46">
        <v>3.28</v>
      </c>
      <c r="D26" s="46">
        <v>4.41</v>
      </c>
      <c r="E26" s="696"/>
      <c r="F26" s="634"/>
      <c r="G26" s="634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>
        <v>70940060253</v>
      </c>
      <c r="S26" s="414"/>
      <c r="T26" s="637"/>
      <c r="U26" s="467"/>
    </row>
    <row r="27" spans="1:24" s="468" customFormat="1" x14ac:dyDescent="0.3">
      <c r="A27" s="688" t="s">
        <v>3508</v>
      </c>
      <c r="B27" s="607" t="s">
        <v>3509</v>
      </c>
      <c r="C27" s="43">
        <v>0</v>
      </c>
      <c r="D27" s="43">
        <v>0.23</v>
      </c>
      <c r="E27" s="694">
        <v>1.79</v>
      </c>
      <c r="F27" s="662">
        <v>7157</v>
      </c>
      <c r="G27" s="662" t="s">
        <v>32</v>
      </c>
      <c r="H27" s="53"/>
      <c r="I27" s="33"/>
      <c r="J27" s="33"/>
      <c r="K27" s="33"/>
      <c r="L27" s="33"/>
      <c r="M27" s="33"/>
      <c r="N27" s="33"/>
      <c r="O27" s="33"/>
      <c r="P27" s="33"/>
      <c r="Q27" s="33"/>
      <c r="R27" s="33" t="s">
        <v>3510</v>
      </c>
      <c r="S27" s="413"/>
      <c r="T27" s="642" t="s">
        <v>31</v>
      </c>
      <c r="U27" s="467"/>
    </row>
    <row r="28" spans="1:24" s="468" customFormat="1" ht="15" thickBot="1" x14ac:dyDescent="0.35">
      <c r="A28" s="689"/>
      <c r="B28" s="609"/>
      <c r="C28" s="46">
        <v>0.23</v>
      </c>
      <c r="D28" s="46">
        <v>1.79</v>
      </c>
      <c r="E28" s="696"/>
      <c r="F28" s="663"/>
      <c r="G28" s="663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>
        <v>70940050166</v>
      </c>
      <c r="S28" s="414"/>
      <c r="T28" s="637"/>
      <c r="U28" s="467"/>
    </row>
    <row r="29" spans="1:24" s="76" customFormat="1" x14ac:dyDescent="0.3">
      <c r="A29" s="847" t="s">
        <v>3511</v>
      </c>
      <c r="B29" s="651" t="s">
        <v>3512</v>
      </c>
      <c r="C29" s="43">
        <v>0</v>
      </c>
      <c r="D29" s="43">
        <v>0.22</v>
      </c>
      <c r="E29" s="694">
        <v>2.82</v>
      </c>
      <c r="F29" s="662">
        <v>11268</v>
      </c>
      <c r="G29" s="662" t="s">
        <v>32</v>
      </c>
      <c r="H29" s="36"/>
      <c r="I29" s="33"/>
      <c r="J29" s="33"/>
      <c r="K29" s="33"/>
      <c r="L29" s="33"/>
      <c r="M29" s="33"/>
      <c r="N29" s="33"/>
      <c r="O29" s="33"/>
      <c r="P29" s="33"/>
      <c r="Q29" s="33"/>
      <c r="R29" s="33" t="s">
        <v>3513</v>
      </c>
      <c r="S29" s="413"/>
      <c r="T29" s="664" t="s">
        <v>31</v>
      </c>
      <c r="U29" s="471"/>
      <c r="X29" s="471"/>
    </row>
    <row r="30" spans="1:24" s="76" customFormat="1" x14ac:dyDescent="0.3">
      <c r="A30" s="848"/>
      <c r="B30" s="711"/>
      <c r="C30" s="48">
        <v>0.22</v>
      </c>
      <c r="D30" s="48">
        <v>0.24</v>
      </c>
      <c r="E30" s="695"/>
      <c r="F30" s="714"/>
      <c r="G30" s="714"/>
      <c r="H30" s="37"/>
      <c r="I30" s="14"/>
      <c r="J30" s="14"/>
      <c r="K30" s="14"/>
      <c r="L30" s="14"/>
      <c r="M30" s="14"/>
      <c r="N30" s="14"/>
      <c r="O30" s="14"/>
      <c r="P30" s="14"/>
      <c r="Q30" s="14"/>
      <c r="R30" s="14" t="s">
        <v>3514</v>
      </c>
      <c r="S30" s="411"/>
      <c r="T30" s="724"/>
      <c r="U30" s="471"/>
      <c r="X30" s="471"/>
    </row>
    <row r="31" spans="1:24" s="76" customFormat="1" ht="15" thickBot="1" x14ac:dyDescent="0.35">
      <c r="A31" s="849"/>
      <c r="B31" s="652"/>
      <c r="C31" s="46">
        <v>0.24</v>
      </c>
      <c r="D31" s="46">
        <v>2.82</v>
      </c>
      <c r="E31" s="696"/>
      <c r="F31" s="663"/>
      <c r="G31" s="663"/>
      <c r="H31" s="38"/>
      <c r="I31" s="20"/>
      <c r="J31" s="20"/>
      <c r="K31" s="20"/>
      <c r="L31" s="20"/>
      <c r="M31" s="20"/>
      <c r="N31" s="20"/>
      <c r="O31" s="20"/>
      <c r="P31" s="20"/>
      <c r="Q31" s="20"/>
      <c r="R31" s="20">
        <v>70940050167</v>
      </c>
      <c r="S31" s="414"/>
      <c r="T31" s="665"/>
      <c r="U31" s="471"/>
      <c r="X31" s="471"/>
    </row>
    <row r="32" spans="1:24" s="468" customFormat="1" ht="24.6" thickBot="1" x14ac:dyDescent="0.35">
      <c r="A32" s="69" t="s">
        <v>3515</v>
      </c>
      <c r="B32" s="69" t="s">
        <v>3516</v>
      </c>
      <c r="C32" s="41">
        <v>0</v>
      </c>
      <c r="D32" s="41">
        <v>0.89</v>
      </c>
      <c r="E32" s="41">
        <v>0.89</v>
      </c>
      <c r="F32" s="3">
        <v>3561</v>
      </c>
      <c r="G32" s="3" t="s">
        <v>32</v>
      </c>
      <c r="H32" s="39"/>
      <c r="I32" s="3"/>
      <c r="J32" s="3"/>
      <c r="K32" s="3"/>
      <c r="L32" s="3"/>
      <c r="M32" s="3"/>
      <c r="N32" s="3"/>
      <c r="O32" s="3"/>
      <c r="P32" s="3"/>
      <c r="Q32" s="3"/>
      <c r="R32" s="3">
        <v>70940050170</v>
      </c>
      <c r="S32" s="412"/>
      <c r="T32" s="5" t="s">
        <v>31</v>
      </c>
      <c r="U32" s="467"/>
    </row>
    <row r="33" spans="1:22" s="468" customFormat="1" ht="24.6" thickBot="1" x14ac:dyDescent="0.35">
      <c r="A33" s="69" t="s">
        <v>3517</v>
      </c>
      <c r="B33" s="69" t="s">
        <v>3518</v>
      </c>
      <c r="C33" s="41">
        <v>0</v>
      </c>
      <c r="D33" s="41">
        <v>2.78</v>
      </c>
      <c r="E33" s="41">
        <v>2.78</v>
      </c>
      <c r="F33" s="3">
        <v>11113</v>
      </c>
      <c r="G33" s="3" t="s">
        <v>32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>
        <v>70940060250</v>
      </c>
      <c r="S33" s="412"/>
      <c r="T33" s="5" t="s">
        <v>31</v>
      </c>
      <c r="U33" s="467"/>
    </row>
    <row r="34" spans="1:22" s="468" customFormat="1" ht="24.6" thickBot="1" x14ac:dyDescent="0.35">
      <c r="A34" s="210" t="s">
        <v>3519</v>
      </c>
      <c r="B34" s="210" t="s">
        <v>3520</v>
      </c>
      <c r="C34" s="70">
        <v>0</v>
      </c>
      <c r="D34" s="70">
        <v>2.41</v>
      </c>
      <c r="E34" s="70">
        <v>2.41</v>
      </c>
      <c r="F34" s="53">
        <v>9649</v>
      </c>
      <c r="G34" s="53" t="s">
        <v>32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>
        <v>70940070196</v>
      </c>
      <c r="S34" s="415"/>
      <c r="T34" s="54" t="s">
        <v>31</v>
      </c>
      <c r="U34" s="467"/>
    </row>
    <row r="35" spans="1:22" s="468" customFormat="1" ht="14.4" customHeight="1" x14ac:dyDescent="0.3">
      <c r="A35" s="847" t="s">
        <v>3521</v>
      </c>
      <c r="B35" s="651" t="s">
        <v>3522</v>
      </c>
      <c r="C35" s="43">
        <v>0</v>
      </c>
      <c r="D35" s="43">
        <v>0.63</v>
      </c>
      <c r="E35" s="645">
        <v>3.16</v>
      </c>
      <c r="F35" s="662">
        <v>12636</v>
      </c>
      <c r="G35" s="641" t="s">
        <v>32</v>
      </c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>
        <v>70940070202</v>
      </c>
      <c r="S35" s="413"/>
      <c r="T35" s="664" t="s">
        <v>31</v>
      </c>
      <c r="U35" s="467"/>
    </row>
    <row r="36" spans="1:22" s="468" customFormat="1" x14ac:dyDescent="0.3">
      <c r="A36" s="848"/>
      <c r="B36" s="711"/>
      <c r="C36" s="48">
        <v>0.63</v>
      </c>
      <c r="D36" s="48">
        <v>2.96</v>
      </c>
      <c r="E36" s="654"/>
      <c r="F36" s="714"/>
      <c r="G36" s="633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>
        <v>70940080065</v>
      </c>
      <c r="S36" s="411"/>
      <c r="T36" s="724"/>
      <c r="U36" s="467"/>
    </row>
    <row r="37" spans="1:22" s="468" customFormat="1" ht="15" thickBot="1" x14ac:dyDescent="0.35">
      <c r="A37" s="849"/>
      <c r="B37" s="652"/>
      <c r="C37" s="46">
        <v>2.96</v>
      </c>
      <c r="D37" s="46">
        <f>3.16</f>
        <v>3.16</v>
      </c>
      <c r="E37" s="646"/>
      <c r="F37" s="663"/>
      <c r="G37" s="20" t="s">
        <v>788</v>
      </c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>
        <v>70940080065</v>
      </c>
      <c r="S37" s="414"/>
      <c r="T37" s="665"/>
      <c r="U37" s="467"/>
    </row>
    <row r="38" spans="1:22" s="468" customFormat="1" ht="15" customHeight="1" x14ac:dyDescent="0.3">
      <c r="A38" s="959" t="s">
        <v>3523</v>
      </c>
      <c r="B38" s="618" t="s">
        <v>3524</v>
      </c>
      <c r="C38" s="79">
        <v>0</v>
      </c>
      <c r="D38" s="79">
        <v>2.76</v>
      </c>
      <c r="E38" s="695">
        <v>5.07</v>
      </c>
      <c r="F38" s="714">
        <v>20284</v>
      </c>
      <c r="G38" s="714" t="s">
        <v>32</v>
      </c>
      <c r="H38" s="80"/>
      <c r="I38" s="9"/>
      <c r="J38" s="9"/>
      <c r="K38" s="9"/>
      <c r="L38" s="9"/>
      <c r="M38" s="9"/>
      <c r="N38" s="9"/>
      <c r="O38" s="9"/>
      <c r="P38" s="9"/>
      <c r="Q38" s="9"/>
      <c r="R38" s="9">
        <v>70940070198</v>
      </c>
      <c r="S38" s="473"/>
      <c r="T38" s="724" t="s">
        <v>31</v>
      </c>
      <c r="U38" s="467"/>
    </row>
    <row r="39" spans="1:22" s="468" customFormat="1" ht="15" thickBot="1" x14ac:dyDescent="0.35">
      <c r="A39" s="689"/>
      <c r="B39" s="609"/>
      <c r="C39" s="46">
        <v>2.76</v>
      </c>
      <c r="D39" s="46">
        <v>5.07</v>
      </c>
      <c r="E39" s="696"/>
      <c r="F39" s="663"/>
      <c r="G39" s="663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>
        <v>70940080166</v>
      </c>
      <c r="S39" s="414"/>
      <c r="T39" s="665"/>
      <c r="U39" s="467"/>
    </row>
    <row r="40" spans="1:22" s="468" customFormat="1" x14ac:dyDescent="0.3">
      <c r="A40" s="688" t="s">
        <v>3525</v>
      </c>
      <c r="B40" s="607" t="s">
        <v>3526</v>
      </c>
      <c r="C40" s="43">
        <v>0</v>
      </c>
      <c r="D40" s="43">
        <v>1.02</v>
      </c>
      <c r="E40" s="694">
        <v>1.67</v>
      </c>
      <c r="F40" s="662">
        <v>6689</v>
      </c>
      <c r="G40" s="662" t="s">
        <v>32</v>
      </c>
      <c r="H40" s="53"/>
      <c r="I40" s="33"/>
      <c r="J40" s="33"/>
      <c r="K40" s="33"/>
      <c r="L40" s="33"/>
      <c r="M40" s="33"/>
      <c r="N40" s="33"/>
      <c r="O40" s="33"/>
      <c r="P40" s="33"/>
      <c r="Q40" s="33"/>
      <c r="R40" s="33">
        <v>70940040268</v>
      </c>
      <c r="S40" s="33"/>
      <c r="T40" s="664" t="s">
        <v>31</v>
      </c>
      <c r="U40" s="464"/>
      <c r="V40" s="467"/>
    </row>
    <row r="41" spans="1:22" s="468" customFormat="1" x14ac:dyDescent="0.3">
      <c r="A41" s="690"/>
      <c r="B41" s="608"/>
      <c r="C41" s="79">
        <v>1.02</v>
      </c>
      <c r="D41" s="48">
        <v>1.04</v>
      </c>
      <c r="E41" s="695"/>
      <c r="F41" s="714"/>
      <c r="G41" s="714"/>
      <c r="H41" s="93"/>
      <c r="I41" s="14"/>
      <c r="J41" s="14"/>
      <c r="K41" s="14"/>
      <c r="L41" s="14"/>
      <c r="M41" s="14"/>
      <c r="N41" s="14"/>
      <c r="O41" s="14"/>
      <c r="P41" s="14"/>
      <c r="Q41" s="14"/>
      <c r="R41" s="14">
        <v>70940040256</v>
      </c>
      <c r="S41" s="14"/>
      <c r="T41" s="724"/>
      <c r="U41" s="464"/>
      <c r="V41" s="467"/>
    </row>
    <row r="42" spans="1:22" s="468" customFormat="1" ht="15" thickBot="1" x14ac:dyDescent="0.35">
      <c r="A42" s="1138"/>
      <c r="B42" s="764"/>
      <c r="C42" s="427">
        <v>1.04</v>
      </c>
      <c r="D42" s="427">
        <v>1.67</v>
      </c>
      <c r="E42" s="696"/>
      <c r="F42" s="714"/>
      <c r="G42" s="714"/>
      <c r="H42" s="20"/>
      <c r="I42" s="93"/>
      <c r="J42" s="93"/>
      <c r="K42" s="93"/>
      <c r="L42" s="93"/>
      <c r="M42" s="93"/>
      <c r="N42" s="93"/>
      <c r="O42" s="93"/>
      <c r="P42" s="93"/>
      <c r="Q42" s="93"/>
      <c r="R42" s="93">
        <v>70940040356</v>
      </c>
      <c r="S42" s="93"/>
      <c r="T42" s="724"/>
      <c r="U42" s="464"/>
      <c r="V42" s="467"/>
    </row>
    <row r="43" spans="1:22" s="468" customFormat="1" x14ac:dyDescent="0.3">
      <c r="A43" s="688" t="s">
        <v>3527</v>
      </c>
      <c r="B43" s="607" t="s">
        <v>3528</v>
      </c>
      <c r="C43" s="43">
        <v>0</v>
      </c>
      <c r="D43" s="43">
        <v>0.53</v>
      </c>
      <c r="E43" s="694">
        <v>4.71</v>
      </c>
      <c r="F43" s="641">
        <v>28273</v>
      </c>
      <c r="G43" s="641" t="s">
        <v>32</v>
      </c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>
        <v>70940030291</v>
      </c>
      <c r="S43" s="413"/>
      <c r="T43" s="1172" t="s">
        <v>31</v>
      </c>
      <c r="U43" s="467"/>
    </row>
    <row r="44" spans="1:22" s="468" customFormat="1" x14ac:dyDescent="0.3">
      <c r="A44" s="690"/>
      <c r="B44" s="608"/>
      <c r="C44" s="48">
        <v>0.53</v>
      </c>
      <c r="D44" s="48">
        <v>0.7</v>
      </c>
      <c r="E44" s="695"/>
      <c r="F44" s="633"/>
      <c r="G44" s="633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>
        <v>70940030292</v>
      </c>
      <c r="S44" s="411"/>
      <c r="T44" s="1173"/>
      <c r="U44" s="467"/>
    </row>
    <row r="45" spans="1:22" s="468" customFormat="1" x14ac:dyDescent="0.3">
      <c r="A45" s="690"/>
      <c r="B45" s="608"/>
      <c r="C45" s="48">
        <v>0.7</v>
      </c>
      <c r="D45" s="48">
        <v>0.88</v>
      </c>
      <c r="E45" s="695"/>
      <c r="F45" s="633"/>
      <c r="G45" s="633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>
        <v>70940030293</v>
      </c>
      <c r="S45" s="411"/>
      <c r="T45" s="1173"/>
      <c r="U45" s="467"/>
    </row>
    <row r="46" spans="1:22" s="468" customFormat="1" x14ac:dyDescent="0.3">
      <c r="A46" s="690"/>
      <c r="B46" s="608"/>
      <c r="C46" s="48">
        <v>0.88</v>
      </c>
      <c r="D46" s="48">
        <v>0.89</v>
      </c>
      <c r="E46" s="695"/>
      <c r="F46" s="633"/>
      <c r="G46" s="633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>
        <v>70940030229</v>
      </c>
      <c r="S46" s="411"/>
      <c r="T46" s="1173"/>
      <c r="U46" s="467"/>
    </row>
    <row r="47" spans="1:22" s="468" customFormat="1" ht="15" thickBot="1" x14ac:dyDescent="0.35">
      <c r="A47" s="689"/>
      <c r="B47" s="609"/>
      <c r="C47" s="46">
        <v>0.89</v>
      </c>
      <c r="D47" s="46">
        <v>4.71</v>
      </c>
      <c r="E47" s="696"/>
      <c r="F47" s="634"/>
      <c r="G47" s="634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>
        <v>70940030227</v>
      </c>
      <c r="S47" s="414"/>
      <c r="T47" s="1174"/>
      <c r="U47" s="467"/>
    </row>
    <row r="48" spans="1:22" s="468" customFormat="1" ht="14.4" customHeight="1" x14ac:dyDescent="0.3">
      <c r="A48" s="847" t="s">
        <v>3529</v>
      </c>
      <c r="B48" s="651" t="s">
        <v>3530</v>
      </c>
      <c r="C48" s="43">
        <v>0</v>
      </c>
      <c r="D48" s="43">
        <v>0.9</v>
      </c>
      <c r="E48" s="694">
        <v>1.57</v>
      </c>
      <c r="F48" s="662">
        <v>6283</v>
      </c>
      <c r="G48" s="662" t="s">
        <v>32</v>
      </c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>
        <v>70940030302</v>
      </c>
      <c r="S48" s="413"/>
      <c r="T48" s="664" t="s">
        <v>31</v>
      </c>
      <c r="U48" s="474"/>
    </row>
    <row r="49" spans="1:22" s="468" customFormat="1" x14ac:dyDescent="0.3">
      <c r="A49" s="848"/>
      <c r="B49" s="711"/>
      <c r="C49" s="79">
        <v>0.9</v>
      </c>
      <c r="D49" s="48">
        <v>0.99</v>
      </c>
      <c r="E49" s="695"/>
      <c r="F49" s="714"/>
      <c r="G49" s="7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 t="s">
        <v>3531</v>
      </c>
      <c r="S49" s="411"/>
      <c r="T49" s="724"/>
      <c r="U49" s="467"/>
    </row>
    <row r="50" spans="1:22" s="468" customFormat="1" x14ac:dyDescent="0.3">
      <c r="A50" s="848"/>
      <c r="B50" s="711"/>
      <c r="C50" s="48">
        <v>0.99</v>
      </c>
      <c r="D50" s="48">
        <v>1.04</v>
      </c>
      <c r="E50" s="695"/>
      <c r="F50" s="714"/>
      <c r="G50" s="7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 t="s">
        <v>3532</v>
      </c>
      <c r="S50" s="411"/>
      <c r="T50" s="724"/>
      <c r="U50" s="467"/>
    </row>
    <row r="51" spans="1:22" s="468" customFormat="1" ht="15" thickBot="1" x14ac:dyDescent="0.35">
      <c r="A51" s="849"/>
      <c r="B51" s="652"/>
      <c r="C51" s="46">
        <v>1.04</v>
      </c>
      <c r="D51" s="46">
        <v>1.57</v>
      </c>
      <c r="E51" s="696"/>
      <c r="F51" s="663"/>
      <c r="G51" s="663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>
        <v>70940030294</v>
      </c>
      <c r="S51" s="414"/>
      <c r="T51" s="665"/>
      <c r="U51" s="467"/>
    </row>
    <row r="52" spans="1:22" s="468" customFormat="1" ht="14.4" customHeight="1" x14ac:dyDescent="0.3">
      <c r="A52" s="847" t="s">
        <v>3533</v>
      </c>
      <c r="B52" s="651" t="s">
        <v>3534</v>
      </c>
      <c r="C52" s="43">
        <v>0</v>
      </c>
      <c r="D52" s="43">
        <v>1.58</v>
      </c>
      <c r="E52" s="694">
        <v>2.46</v>
      </c>
      <c r="F52" s="662">
        <v>9836</v>
      </c>
      <c r="G52" s="662" t="s">
        <v>32</v>
      </c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>
        <v>70940020243</v>
      </c>
      <c r="S52" s="413"/>
      <c r="T52" s="1175" t="s">
        <v>31</v>
      </c>
      <c r="U52" s="467"/>
    </row>
    <row r="53" spans="1:22" s="468" customFormat="1" x14ac:dyDescent="0.3">
      <c r="A53" s="848"/>
      <c r="B53" s="711"/>
      <c r="C53" s="79">
        <v>1.58</v>
      </c>
      <c r="D53" s="48">
        <v>1.71</v>
      </c>
      <c r="E53" s="695"/>
      <c r="F53" s="714"/>
      <c r="G53" s="7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 t="s">
        <v>3535</v>
      </c>
      <c r="S53" s="411"/>
      <c r="T53" s="1176"/>
      <c r="U53" s="467"/>
    </row>
    <row r="54" spans="1:22" s="468" customFormat="1" x14ac:dyDescent="0.3">
      <c r="A54" s="848"/>
      <c r="B54" s="711"/>
      <c r="C54" s="48">
        <v>1.71</v>
      </c>
      <c r="D54" s="48">
        <v>1.76</v>
      </c>
      <c r="E54" s="695"/>
      <c r="F54" s="714"/>
      <c r="G54" s="7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 t="s">
        <v>3536</v>
      </c>
      <c r="S54" s="411"/>
      <c r="T54" s="1176"/>
      <c r="U54" s="467"/>
    </row>
    <row r="55" spans="1:22" s="468" customFormat="1" ht="15" customHeight="1" x14ac:dyDescent="0.3">
      <c r="A55" s="848"/>
      <c r="B55" s="711"/>
      <c r="C55" s="48">
        <v>1.76</v>
      </c>
      <c r="D55" s="48">
        <v>1.84</v>
      </c>
      <c r="E55" s="695"/>
      <c r="F55" s="714"/>
      <c r="G55" s="7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 t="s">
        <v>3537</v>
      </c>
      <c r="S55" s="411"/>
      <c r="T55" s="1176"/>
      <c r="U55" s="467"/>
    </row>
    <row r="56" spans="1:22" s="468" customFormat="1" ht="15" customHeight="1" x14ac:dyDescent="0.3">
      <c r="A56" s="848"/>
      <c r="B56" s="711"/>
      <c r="C56" s="48">
        <v>1.84</v>
      </c>
      <c r="D56" s="48">
        <v>2.13</v>
      </c>
      <c r="E56" s="695"/>
      <c r="F56" s="714"/>
      <c r="G56" s="7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>
        <v>70940020202</v>
      </c>
      <c r="S56" s="411"/>
      <c r="T56" s="1176"/>
      <c r="U56" s="467"/>
    </row>
    <row r="57" spans="1:22" s="468" customFormat="1" ht="15" customHeight="1" thickBot="1" x14ac:dyDescent="0.35">
      <c r="A57" s="849"/>
      <c r="B57" s="652"/>
      <c r="C57" s="46">
        <v>2.13</v>
      </c>
      <c r="D57" s="46">
        <v>2.46</v>
      </c>
      <c r="E57" s="696"/>
      <c r="F57" s="663"/>
      <c r="G57" s="663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>
        <v>70940050172</v>
      </c>
      <c r="S57" s="414"/>
      <c r="T57" s="1177"/>
      <c r="U57" s="467"/>
    </row>
    <row r="58" spans="1:22" s="468" customFormat="1" ht="15" customHeight="1" x14ac:dyDescent="0.3">
      <c r="A58" s="688" t="s">
        <v>3538</v>
      </c>
      <c r="B58" s="651" t="s">
        <v>3539</v>
      </c>
      <c r="C58" s="43">
        <v>0</v>
      </c>
      <c r="D58" s="43">
        <v>1.19</v>
      </c>
      <c r="E58" s="694">
        <v>1.2</v>
      </c>
      <c r="F58" s="662">
        <v>4800</v>
      </c>
      <c r="G58" s="662" t="s">
        <v>32</v>
      </c>
      <c r="H58" s="402"/>
      <c r="I58" s="33"/>
      <c r="J58" s="33"/>
      <c r="K58" s="33"/>
      <c r="L58" s="33"/>
      <c r="M58" s="33"/>
      <c r="N58" s="33"/>
      <c r="O58" s="33"/>
      <c r="P58" s="33"/>
      <c r="Q58" s="33"/>
      <c r="R58" s="33">
        <v>70940060251</v>
      </c>
      <c r="S58" s="33"/>
      <c r="T58" s="664" t="s">
        <v>31</v>
      </c>
      <c r="U58" s="1178"/>
    </row>
    <row r="59" spans="1:22" s="468" customFormat="1" ht="15" thickBot="1" x14ac:dyDescent="0.35">
      <c r="A59" s="689"/>
      <c r="B59" s="652"/>
      <c r="C59" s="68">
        <v>1.19</v>
      </c>
      <c r="D59" s="46">
        <v>1.2</v>
      </c>
      <c r="E59" s="696"/>
      <c r="F59" s="663"/>
      <c r="G59" s="663"/>
      <c r="H59" s="38"/>
      <c r="I59" s="20"/>
      <c r="J59" s="20"/>
      <c r="K59" s="20"/>
      <c r="L59" s="20"/>
      <c r="M59" s="20"/>
      <c r="N59" s="20"/>
      <c r="O59" s="20"/>
      <c r="P59" s="20"/>
      <c r="Q59" s="20"/>
      <c r="R59" s="20">
        <v>70940060036</v>
      </c>
      <c r="S59" s="414"/>
      <c r="T59" s="665"/>
      <c r="U59" s="1178"/>
    </row>
    <row r="60" spans="1:22" s="468" customFormat="1" ht="14.4" customHeight="1" x14ac:dyDescent="0.3">
      <c r="A60" s="847" t="s">
        <v>3540</v>
      </c>
      <c r="B60" s="651" t="s">
        <v>3541</v>
      </c>
      <c r="C60" s="43">
        <v>0</v>
      </c>
      <c r="D60" s="43">
        <v>1.31</v>
      </c>
      <c r="E60" s="694">
        <v>1.9</v>
      </c>
      <c r="F60" s="662">
        <v>7582</v>
      </c>
      <c r="G60" s="662" t="s">
        <v>32</v>
      </c>
      <c r="H60" s="53"/>
      <c r="I60" s="33"/>
      <c r="J60" s="33"/>
      <c r="K60" s="33"/>
      <c r="L60" s="33"/>
      <c r="M60" s="33"/>
      <c r="N60" s="33"/>
      <c r="O60" s="33"/>
      <c r="P60" s="33"/>
      <c r="Q60" s="33"/>
      <c r="R60" s="33">
        <v>70940070197</v>
      </c>
      <c r="S60" s="413"/>
      <c r="T60" s="664" t="s">
        <v>31</v>
      </c>
      <c r="U60" s="467"/>
    </row>
    <row r="61" spans="1:22" s="468" customFormat="1" x14ac:dyDescent="0.3">
      <c r="A61" s="848"/>
      <c r="B61" s="711"/>
      <c r="C61" s="79">
        <v>1.31</v>
      </c>
      <c r="D61" s="48">
        <v>1.42</v>
      </c>
      <c r="E61" s="695"/>
      <c r="F61" s="714"/>
      <c r="G61" s="7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 t="s">
        <v>3542</v>
      </c>
      <c r="S61" s="411"/>
      <c r="T61" s="724"/>
      <c r="U61" s="304"/>
      <c r="V61" s="475"/>
    </row>
    <row r="62" spans="1:22" s="468" customFormat="1" x14ac:dyDescent="0.3">
      <c r="A62" s="848"/>
      <c r="B62" s="711"/>
      <c r="C62" s="48">
        <v>1.42</v>
      </c>
      <c r="D62" s="48">
        <v>1.63</v>
      </c>
      <c r="E62" s="695"/>
      <c r="F62" s="714"/>
      <c r="G62" s="714"/>
      <c r="H62" s="9"/>
      <c r="I62" s="14"/>
      <c r="J62" s="14"/>
      <c r="K62" s="14"/>
      <c r="L62" s="14"/>
      <c r="M62" s="14"/>
      <c r="N62" s="14"/>
      <c r="O62" s="14"/>
      <c r="P62" s="14"/>
      <c r="Q62" s="14"/>
      <c r="R62" s="14" t="s">
        <v>3543</v>
      </c>
      <c r="S62" s="411"/>
      <c r="T62" s="724"/>
      <c r="U62" s="304"/>
      <c r="V62" s="475"/>
    </row>
    <row r="63" spans="1:22" s="468" customFormat="1" ht="15" thickBot="1" x14ac:dyDescent="0.35">
      <c r="A63" s="849"/>
      <c r="B63" s="652"/>
      <c r="C63" s="46">
        <v>1.63</v>
      </c>
      <c r="D63" s="46">
        <v>1.9</v>
      </c>
      <c r="E63" s="696"/>
      <c r="F63" s="663"/>
      <c r="G63" s="663"/>
      <c r="H63" s="57"/>
      <c r="I63" s="20"/>
      <c r="J63" s="20"/>
      <c r="K63" s="20"/>
      <c r="L63" s="20"/>
      <c r="M63" s="20"/>
      <c r="N63" s="20"/>
      <c r="O63" s="20"/>
      <c r="P63" s="20"/>
      <c r="Q63" s="20"/>
      <c r="R63" s="20" t="s">
        <v>3544</v>
      </c>
      <c r="S63" s="414"/>
      <c r="T63" s="665"/>
      <c r="U63" s="304"/>
      <c r="V63" s="475"/>
    </row>
    <row r="64" spans="1:22" s="468" customFormat="1" ht="24.6" thickBot="1" x14ac:dyDescent="0.35">
      <c r="A64" s="69" t="s">
        <v>3545</v>
      </c>
      <c r="B64" s="23" t="s">
        <v>3546</v>
      </c>
      <c r="C64" s="41">
        <v>0</v>
      </c>
      <c r="D64" s="41">
        <v>0.17</v>
      </c>
      <c r="E64" s="41">
        <v>0.17</v>
      </c>
      <c r="F64" s="3">
        <v>1026</v>
      </c>
      <c r="G64" s="3" t="s">
        <v>3492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>
        <v>70940030305</v>
      </c>
      <c r="S64" s="412"/>
      <c r="T64" s="5" t="s">
        <v>31</v>
      </c>
      <c r="U64" s="467"/>
    </row>
    <row r="65" spans="1:62" s="477" customFormat="1" x14ac:dyDescent="0.3">
      <c r="A65" s="847" t="s">
        <v>3547</v>
      </c>
      <c r="B65" s="651" t="s">
        <v>3548</v>
      </c>
      <c r="C65" s="43">
        <v>0</v>
      </c>
      <c r="D65" s="43">
        <v>0.89</v>
      </c>
      <c r="E65" s="694">
        <v>0.99</v>
      </c>
      <c r="F65" s="727">
        <v>3978</v>
      </c>
      <c r="G65" s="662" t="s">
        <v>32</v>
      </c>
      <c r="H65" s="53"/>
      <c r="I65" s="33"/>
      <c r="J65" s="476"/>
      <c r="K65" s="476"/>
      <c r="L65" s="34"/>
      <c r="M65" s="34"/>
      <c r="N65" s="34"/>
      <c r="O65" s="34"/>
      <c r="P65" s="34"/>
      <c r="Q65" s="34"/>
      <c r="R65" s="33">
        <v>70940060369</v>
      </c>
      <c r="S65" s="34"/>
      <c r="T65" s="664" t="s">
        <v>31</v>
      </c>
      <c r="U65" s="469"/>
      <c r="V65" s="468"/>
      <c r="W65" s="468"/>
      <c r="X65" s="468"/>
      <c r="Y65" s="468"/>
      <c r="Z65" s="468"/>
      <c r="AA65" s="468"/>
      <c r="AB65" s="468"/>
      <c r="AC65" s="468"/>
      <c r="AD65" s="468"/>
      <c r="AE65" s="468"/>
      <c r="AF65" s="468"/>
      <c r="AG65" s="468"/>
      <c r="AH65" s="468"/>
      <c r="AI65" s="468"/>
      <c r="AJ65" s="468"/>
      <c r="AK65" s="468"/>
      <c r="AL65" s="468"/>
      <c r="AM65" s="468"/>
      <c r="AN65" s="468"/>
      <c r="AO65" s="468"/>
      <c r="AP65" s="468"/>
      <c r="AQ65" s="468"/>
      <c r="AR65" s="468"/>
      <c r="AS65" s="468"/>
      <c r="AT65" s="468"/>
      <c r="AU65" s="468"/>
      <c r="AV65" s="468"/>
      <c r="AW65" s="468"/>
      <c r="AX65" s="468"/>
      <c r="AY65" s="468"/>
      <c r="AZ65" s="468"/>
      <c r="BA65" s="468"/>
      <c r="BB65" s="468"/>
      <c r="BC65" s="468"/>
      <c r="BD65" s="468"/>
      <c r="BE65" s="468"/>
      <c r="BF65" s="468"/>
      <c r="BG65" s="468"/>
      <c r="BH65" s="468"/>
      <c r="BI65" s="468"/>
      <c r="BJ65" s="468"/>
    </row>
    <row r="66" spans="1:62" s="477" customFormat="1" ht="15" thickBot="1" x14ac:dyDescent="0.35">
      <c r="A66" s="849"/>
      <c r="B66" s="652"/>
      <c r="C66" s="68">
        <v>0.89</v>
      </c>
      <c r="D66" s="46">
        <v>0.99</v>
      </c>
      <c r="E66" s="696"/>
      <c r="F66" s="729"/>
      <c r="G66" s="663"/>
      <c r="H66" s="20"/>
      <c r="I66" s="20"/>
      <c r="J66" s="478"/>
      <c r="K66" s="478"/>
      <c r="L66" s="19"/>
      <c r="M66" s="19"/>
      <c r="N66" s="19"/>
      <c r="O66" s="19"/>
      <c r="P66" s="19"/>
      <c r="Q66" s="19"/>
      <c r="R66" s="20" t="s">
        <v>3549</v>
      </c>
      <c r="S66" s="19"/>
      <c r="T66" s="665"/>
      <c r="U66" s="469"/>
      <c r="V66" s="468"/>
      <c r="W66" s="468"/>
      <c r="X66" s="468"/>
      <c r="Y66" s="468"/>
      <c r="Z66" s="468"/>
      <c r="AA66" s="468"/>
      <c r="AB66" s="468"/>
      <c r="AC66" s="468"/>
      <c r="AD66" s="468"/>
      <c r="AE66" s="468"/>
      <c r="AF66" s="468"/>
      <c r="AG66" s="468"/>
      <c r="AH66" s="468"/>
      <c r="AI66" s="468"/>
      <c r="AJ66" s="468"/>
      <c r="AK66" s="468"/>
      <c r="AL66" s="468"/>
      <c r="AM66" s="468"/>
      <c r="AN66" s="468"/>
      <c r="AO66" s="468"/>
      <c r="AP66" s="468"/>
      <c r="AQ66" s="468"/>
      <c r="AR66" s="468"/>
      <c r="AS66" s="468"/>
      <c r="AT66" s="468"/>
      <c r="AU66" s="468"/>
      <c r="AV66" s="468"/>
      <c r="AW66" s="468"/>
      <c r="AX66" s="468"/>
      <c r="AY66" s="468"/>
      <c r="AZ66" s="468"/>
      <c r="BA66" s="468"/>
      <c r="BB66" s="468"/>
      <c r="BC66" s="468"/>
      <c r="BD66" s="468"/>
      <c r="BE66" s="468"/>
      <c r="BF66" s="468"/>
      <c r="BG66" s="468"/>
      <c r="BH66" s="468"/>
      <c r="BI66" s="468"/>
      <c r="BJ66" s="468"/>
    </row>
    <row r="67" spans="1:62" s="477" customFormat="1" x14ac:dyDescent="0.3">
      <c r="A67" s="688" t="s">
        <v>3550</v>
      </c>
      <c r="B67" s="651" t="s">
        <v>3551</v>
      </c>
      <c r="C67" s="43">
        <v>0</v>
      </c>
      <c r="D67" s="43">
        <v>0.62</v>
      </c>
      <c r="E67" s="694">
        <v>1.29</v>
      </c>
      <c r="F67" s="727">
        <v>5154</v>
      </c>
      <c r="G67" s="662" t="s">
        <v>32</v>
      </c>
      <c r="H67" s="53"/>
      <c r="I67" s="33"/>
      <c r="J67" s="476"/>
      <c r="K67" s="476"/>
      <c r="L67" s="34"/>
      <c r="M67" s="34"/>
      <c r="N67" s="34"/>
      <c r="O67" s="34"/>
      <c r="P67" s="34"/>
      <c r="Q67" s="34"/>
      <c r="R67" s="33">
        <v>70940010103</v>
      </c>
      <c r="S67" s="34"/>
      <c r="T67" s="664" t="s">
        <v>31</v>
      </c>
      <c r="U67" s="469"/>
      <c r="V67" s="468"/>
      <c r="W67" s="468"/>
      <c r="X67" s="468"/>
      <c r="Y67" s="468"/>
      <c r="Z67" s="468"/>
      <c r="AA67" s="468"/>
      <c r="AB67" s="468"/>
      <c r="AC67" s="468"/>
      <c r="AD67" s="468"/>
      <c r="AE67" s="468"/>
      <c r="AF67" s="468"/>
      <c r="AG67" s="468"/>
      <c r="AH67" s="468"/>
      <c r="AI67" s="468"/>
      <c r="AJ67" s="468"/>
      <c r="AK67" s="468"/>
      <c r="AL67" s="468"/>
      <c r="AM67" s="468"/>
      <c r="AN67" s="468"/>
      <c r="AO67" s="468"/>
      <c r="AP67" s="468"/>
      <c r="AQ67" s="468"/>
      <c r="AR67" s="468"/>
      <c r="AS67" s="468"/>
      <c r="AT67" s="468"/>
      <c r="AU67" s="468"/>
      <c r="AV67" s="468"/>
      <c r="AW67" s="468"/>
      <c r="AX67" s="468"/>
      <c r="AY67" s="468"/>
      <c r="AZ67" s="468"/>
      <c r="BA67" s="468"/>
      <c r="BB67" s="468"/>
      <c r="BC67" s="468"/>
      <c r="BD67" s="468"/>
      <c r="BE67" s="468"/>
      <c r="BF67" s="468"/>
      <c r="BG67" s="468"/>
      <c r="BH67" s="468"/>
      <c r="BI67" s="468"/>
      <c r="BJ67" s="468"/>
    </row>
    <row r="68" spans="1:62" s="477" customFormat="1" x14ac:dyDescent="0.3">
      <c r="A68" s="690"/>
      <c r="B68" s="711"/>
      <c r="C68" s="79">
        <v>0.62</v>
      </c>
      <c r="D68" s="48">
        <v>0.77</v>
      </c>
      <c r="E68" s="695"/>
      <c r="F68" s="728"/>
      <c r="G68" s="714"/>
      <c r="H68" s="14"/>
      <c r="I68" s="14"/>
      <c r="J68" s="479"/>
      <c r="K68" s="479"/>
      <c r="L68" s="13"/>
      <c r="M68" s="13"/>
      <c r="N68" s="13"/>
      <c r="O68" s="13"/>
      <c r="P68" s="13"/>
      <c r="Q68" s="13"/>
      <c r="R68" s="14" t="s">
        <v>3552</v>
      </c>
      <c r="S68" s="13"/>
      <c r="T68" s="724"/>
      <c r="U68" s="467"/>
      <c r="V68" s="468"/>
      <c r="W68" s="468"/>
      <c r="X68" s="468"/>
      <c r="Y68" s="468"/>
      <c r="Z68" s="468"/>
      <c r="AA68" s="468"/>
      <c r="AB68" s="468"/>
      <c r="AC68" s="468"/>
      <c r="AD68" s="468"/>
      <c r="AE68" s="468"/>
      <c r="AF68" s="468"/>
      <c r="AG68" s="468"/>
      <c r="AH68" s="468"/>
      <c r="AI68" s="468"/>
      <c r="AJ68" s="468"/>
      <c r="AK68" s="468"/>
      <c r="AL68" s="468"/>
      <c r="AM68" s="468"/>
      <c r="AN68" s="468"/>
      <c r="AO68" s="468"/>
      <c r="AP68" s="468"/>
      <c r="AQ68" s="468"/>
      <c r="AR68" s="468"/>
      <c r="AS68" s="468"/>
      <c r="AT68" s="468"/>
      <c r="AU68" s="468"/>
      <c r="AV68" s="468"/>
      <c r="AW68" s="468"/>
      <c r="AX68" s="468"/>
      <c r="AY68" s="468"/>
      <c r="AZ68" s="468"/>
      <c r="BA68" s="468"/>
      <c r="BB68" s="468"/>
      <c r="BC68" s="468"/>
      <c r="BD68" s="468"/>
      <c r="BE68" s="468"/>
      <c r="BF68" s="468"/>
      <c r="BG68" s="468"/>
      <c r="BH68" s="468"/>
      <c r="BI68" s="468"/>
      <c r="BJ68" s="468"/>
    </row>
    <row r="69" spans="1:62" s="477" customFormat="1" ht="15" thickBot="1" x14ac:dyDescent="0.35">
      <c r="A69" s="689"/>
      <c r="B69" s="652"/>
      <c r="C69" s="46">
        <v>0.77</v>
      </c>
      <c r="D69" s="46">
        <v>1.29</v>
      </c>
      <c r="E69" s="696"/>
      <c r="F69" s="729"/>
      <c r="G69" s="663"/>
      <c r="H69" s="57"/>
      <c r="I69" s="20"/>
      <c r="J69" s="478"/>
      <c r="K69" s="478"/>
      <c r="L69" s="19"/>
      <c r="M69" s="19"/>
      <c r="N69" s="19"/>
      <c r="O69" s="19"/>
      <c r="P69" s="19"/>
      <c r="Q69" s="19"/>
      <c r="R69" s="20">
        <v>70940010079</v>
      </c>
      <c r="S69" s="19"/>
      <c r="T69" s="665"/>
      <c r="U69" s="469"/>
      <c r="V69" s="468"/>
      <c r="W69" s="468"/>
      <c r="X69" s="468"/>
      <c r="Y69" s="468"/>
      <c r="Z69" s="468"/>
      <c r="AA69" s="468"/>
      <c r="AB69" s="468"/>
      <c r="AC69" s="468"/>
      <c r="AD69" s="468"/>
      <c r="AE69" s="468"/>
      <c r="AF69" s="468"/>
      <c r="AG69" s="468"/>
      <c r="AH69" s="468"/>
      <c r="AI69" s="468"/>
      <c r="AJ69" s="468"/>
      <c r="AK69" s="468"/>
      <c r="AL69" s="468"/>
      <c r="AM69" s="468"/>
      <c r="AN69" s="468"/>
      <c r="AO69" s="468"/>
      <c r="AP69" s="468"/>
      <c r="AQ69" s="468"/>
      <c r="AR69" s="468"/>
      <c r="AS69" s="468"/>
      <c r="AT69" s="468"/>
      <c r="AU69" s="468"/>
      <c r="AV69" s="468"/>
      <c r="AW69" s="468"/>
      <c r="AX69" s="468"/>
      <c r="AY69" s="468"/>
      <c r="AZ69" s="468"/>
      <c r="BA69" s="468"/>
      <c r="BB69" s="468"/>
      <c r="BC69" s="468"/>
      <c r="BD69" s="468"/>
      <c r="BE69" s="468"/>
      <c r="BF69" s="468"/>
      <c r="BG69" s="468"/>
      <c r="BH69" s="468"/>
      <c r="BI69" s="468"/>
      <c r="BJ69" s="468"/>
    </row>
    <row r="70" spans="1:62" s="481" customFormat="1" ht="24.6" thickBot="1" x14ac:dyDescent="0.35">
      <c r="A70" s="22" t="s">
        <v>3553</v>
      </c>
      <c r="B70" s="23" t="s">
        <v>3554</v>
      </c>
      <c r="C70" s="41">
        <v>0</v>
      </c>
      <c r="D70" s="41">
        <v>0.54</v>
      </c>
      <c r="E70" s="41">
        <v>0.54</v>
      </c>
      <c r="F70" s="27">
        <v>2144</v>
      </c>
      <c r="G70" s="3" t="s">
        <v>3555</v>
      </c>
      <c r="H70" s="3"/>
      <c r="I70" s="3"/>
      <c r="J70" s="27"/>
      <c r="K70" s="27"/>
      <c r="L70" s="27"/>
      <c r="M70" s="27"/>
      <c r="N70" s="27"/>
      <c r="O70" s="27"/>
      <c r="P70" s="27"/>
      <c r="Q70" s="27"/>
      <c r="R70" s="3">
        <v>70940040291</v>
      </c>
      <c r="S70" s="114"/>
      <c r="T70" s="5" t="s">
        <v>31</v>
      </c>
      <c r="U70" s="469"/>
      <c r="V70" s="480"/>
      <c r="W70" s="480"/>
      <c r="X70" s="480"/>
      <c r="Y70" s="480"/>
      <c r="Z70" s="480"/>
      <c r="AA70" s="480"/>
      <c r="AB70" s="480"/>
      <c r="AC70" s="480"/>
      <c r="AD70" s="480"/>
      <c r="AE70" s="480"/>
      <c r="AF70" s="480"/>
      <c r="AG70" s="480"/>
      <c r="AH70" s="480"/>
      <c r="AI70" s="480"/>
      <c r="AJ70" s="480"/>
      <c r="AK70" s="480"/>
      <c r="AL70" s="480"/>
      <c r="AM70" s="480"/>
      <c r="AN70" s="480"/>
      <c r="AO70" s="480"/>
      <c r="AP70" s="480"/>
      <c r="AQ70" s="480"/>
      <c r="AR70" s="480"/>
      <c r="AS70" s="480"/>
      <c r="AT70" s="480"/>
      <c r="AU70" s="480"/>
      <c r="AV70" s="480"/>
      <c r="AW70" s="480"/>
      <c r="AX70" s="480"/>
      <c r="AY70" s="480"/>
      <c r="AZ70" s="480"/>
      <c r="BA70" s="480"/>
      <c r="BB70" s="480"/>
      <c r="BC70" s="480"/>
      <c r="BD70" s="480"/>
      <c r="BE70" s="480"/>
      <c r="BF70" s="480"/>
      <c r="BG70" s="480"/>
      <c r="BH70" s="480"/>
      <c r="BI70" s="480"/>
      <c r="BJ70" s="480"/>
    </row>
    <row r="71" spans="1:62" s="481" customFormat="1" ht="15" customHeight="1" x14ac:dyDescent="0.3">
      <c r="A71" s="666" t="s">
        <v>3556</v>
      </c>
      <c r="B71" s="607" t="s">
        <v>3557</v>
      </c>
      <c r="C71" s="43">
        <v>0</v>
      </c>
      <c r="D71" s="43">
        <v>0.91</v>
      </c>
      <c r="E71" s="694">
        <v>1</v>
      </c>
      <c r="F71" s="727">
        <v>3999</v>
      </c>
      <c r="G71" s="662" t="s">
        <v>32</v>
      </c>
      <c r="H71" s="36"/>
      <c r="I71" s="33"/>
      <c r="J71" s="476"/>
      <c r="K71" s="476"/>
      <c r="L71" s="34"/>
      <c r="M71" s="34"/>
      <c r="N71" s="34"/>
      <c r="O71" s="34"/>
      <c r="P71" s="34"/>
      <c r="Q71" s="34"/>
      <c r="R71" s="33">
        <v>70940030255</v>
      </c>
      <c r="S71" s="482"/>
      <c r="T71" s="664" t="s">
        <v>31</v>
      </c>
      <c r="U71" s="1123"/>
      <c r="V71" s="480"/>
      <c r="W71" s="480"/>
      <c r="X71" s="480"/>
      <c r="Y71" s="480"/>
      <c r="Z71" s="480"/>
      <c r="AA71" s="480"/>
      <c r="AB71" s="480"/>
      <c r="AC71" s="480"/>
      <c r="AD71" s="480"/>
      <c r="AE71" s="480"/>
      <c r="AF71" s="480"/>
      <c r="AG71" s="480"/>
      <c r="AH71" s="480"/>
      <c r="AI71" s="480"/>
      <c r="AJ71" s="480"/>
      <c r="AK71" s="480"/>
      <c r="AL71" s="480"/>
      <c r="AM71" s="480"/>
      <c r="AN71" s="480"/>
      <c r="AO71" s="480"/>
      <c r="AP71" s="480"/>
      <c r="AQ71" s="480"/>
      <c r="AR71" s="480"/>
      <c r="AS71" s="480"/>
      <c r="AT71" s="480"/>
      <c r="AU71" s="480"/>
      <c r="AV71" s="480"/>
      <c r="AW71" s="480"/>
      <c r="AX71" s="480"/>
      <c r="AY71" s="480"/>
      <c r="AZ71" s="480"/>
      <c r="BA71" s="480"/>
      <c r="BB71" s="480"/>
      <c r="BC71" s="480"/>
      <c r="BD71" s="480"/>
      <c r="BE71" s="480"/>
      <c r="BF71" s="480"/>
      <c r="BG71" s="480"/>
      <c r="BH71" s="480"/>
      <c r="BI71" s="480"/>
      <c r="BJ71" s="480"/>
    </row>
    <row r="72" spans="1:62" s="481" customFormat="1" thickBot="1" x14ac:dyDescent="0.35">
      <c r="A72" s="667"/>
      <c r="B72" s="609"/>
      <c r="C72" s="68">
        <v>0.91</v>
      </c>
      <c r="D72" s="46">
        <v>1</v>
      </c>
      <c r="E72" s="696"/>
      <c r="F72" s="729"/>
      <c r="G72" s="663"/>
      <c r="H72" s="403"/>
      <c r="I72" s="20"/>
      <c r="J72" s="478"/>
      <c r="K72" s="478"/>
      <c r="L72" s="19"/>
      <c r="M72" s="19"/>
      <c r="N72" s="19"/>
      <c r="O72" s="19"/>
      <c r="P72" s="19"/>
      <c r="Q72" s="19"/>
      <c r="R72" s="20" t="s">
        <v>3558</v>
      </c>
      <c r="S72" s="483"/>
      <c r="T72" s="665"/>
      <c r="U72" s="1123"/>
      <c r="V72" s="480"/>
      <c r="W72" s="480"/>
      <c r="X72" s="480"/>
      <c r="Y72" s="480"/>
      <c r="Z72" s="480"/>
      <c r="AA72" s="480"/>
      <c r="AB72" s="480"/>
      <c r="AC72" s="480"/>
      <c r="AD72" s="480"/>
      <c r="AE72" s="480"/>
      <c r="AF72" s="480"/>
      <c r="AG72" s="480"/>
      <c r="AH72" s="480"/>
      <c r="AI72" s="480"/>
      <c r="AJ72" s="480"/>
      <c r="AK72" s="480"/>
      <c r="AL72" s="480"/>
      <c r="AM72" s="480"/>
      <c r="AN72" s="480"/>
      <c r="AO72" s="480"/>
      <c r="AP72" s="480"/>
      <c r="AQ72" s="480"/>
      <c r="AR72" s="480"/>
      <c r="AS72" s="480"/>
      <c r="AT72" s="480"/>
      <c r="AU72" s="480"/>
      <c r="AV72" s="480"/>
      <c r="AW72" s="480"/>
      <c r="AX72" s="480"/>
      <c r="AY72" s="480"/>
      <c r="AZ72" s="480"/>
      <c r="BA72" s="480"/>
      <c r="BB72" s="480"/>
      <c r="BC72" s="480"/>
      <c r="BD72" s="480"/>
      <c r="BE72" s="480"/>
      <c r="BF72" s="480"/>
      <c r="BG72" s="480"/>
      <c r="BH72" s="480"/>
      <c r="BI72" s="480"/>
      <c r="BJ72" s="480"/>
    </row>
    <row r="73" spans="1:62" s="484" customFormat="1" ht="13.8" x14ac:dyDescent="0.3">
      <c r="A73" s="604" t="s">
        <v>3559</v>
      </c>
      <c r="B73" s="607" t="s">
        <v>3560</v>
      </c>
      <c r="C73" s="43">
        <v>0</v>
      </c>
      <c r="D73" s="43">
        <v>0.06</v>
      </c>
      <c r="E73" s="694">
        <v>0.56000000000000005</v>
      </c>
      <c r="F73" s="34">
        <v>354</v>
      </c>
      <c r="G73" s="33" t="s">
        <v>51</v>
      </c>
      <c r="H73" s="89"/>
      <c r="I73" s="33"/>
      <c r="J73" s="476"/>
      <c r="K73" s="476"/>
      <c r="L73" s="34"/>
      <c r="M73" s="34"/>
      <c r="N73" s="34"/>
      <c r="O73" s="34"/>
      <c r="P73" s="34"/>
      <c r="Q73" s="34"/>
      <c r="R73" s="33">
        <v>70940050171</v>
      </c>
      <c r="S73" s="482"/>
      <c r="T73" s="664" t="s">
        <v>31</v>
      </c>
      <c r="U73" s="469"/>
      <c r="V73" s="480"/>
      <c r="W73" s="480"/>
      <c r="X73" s="480"/>
      <c r="Y73" s="480"/>
      <c r="Z73" s="480"/>
      <c r="AA73" s="480"/>
      <c r="AB73" s="480"/>
      <c r="AC73" s="480"/>
      <c r="AD73" s="480"/>
      <c r="AE73" s="480"/>
      <c r="AF73" s="480"/>
      <c r="AG73" s="480"/>
      <c r="AH73" s="480"/>
      <c r="AI73" s="480"/>
      <c r="AJ73" s="480"/>
      <c r="AK73" s="480"/>
      <c r="AL73" s="480"/>
      <c r="AM73" s="480"/>
      <c r="AN73" s="480"/>
      <c r="AO73" s="480"/>
      <c r="AP73" s="480"/>
      <c r="AQ73" s="480"/>
      <c r="AR73" s="480"/>
      <c r="AS73" s="480"/>
      <c r="AT73" s="480"/>
      <c r="AU73" s="480"/>
      <c r="AV73" s="480"/>
      <c r="AW73" s="480"/>
      <c r="AX73" s="480"/>
      <c r="AY73" s="480"/>
      <c r="AZ73" s="480"/>
      <c r="BA73" s="480"/>
      <c r="BB73" s="480"/>
      <c r="BC73" s="480"/>
      <c r="BD73" s="480"/>
      <c r="BE73" s="480"/>
      <c r="BF73" s="480"/>
      <c r="BG73" s="480"/>
      <c r="BH73" s="480"/>
      <c r="BI73" s="480"/>
      <c r="BJ73" s="480"/>
    </row>
    <row r="74" spans="1:62" s="485" customFormat="1" ht="15.75" customHeight="1" thickBot="1" x14ac:dyDescent="0.35">
      <c r="A74" s="606"/>
      <c r="B74" s="609"/>
      <c r="C74" s="68">
        <v>0.06</v>
      </c>
      <c r="D74" s="46">
        <v>0.56000000000000005</v>
      </c>
      <c r="E74" s="696"/>
      <c r="F74" s="19">
        <v>3007</v>
      </c>
      <c r="G74" s="20" t="s">
        <v>32</v>
      </c>
      <c r="H74" s="19"/>
      <c r="I74" s="20"/>
      <c r="J74" s="19"/>
      <c r="K74" s="19"/>
      <c r="L74" s="19"/>
      <c r="M74" s="19"/>
      <c r="N74" s="19"/>
      <c r="O74" s="19"/>
      <c r="P74" s="19"/>
      <c r="Q74" s="19"/>
      <c r="R74" s="20">
        <v>70940050171</v>
      </c>
      <c r="S74" s="483"/>
      <c r="T74" s="665"/>
      <c r="U74" s="469"/>
      <c r="V74" s="480"/>
      <c r="W74" s="480"/>
      <c r="X74" s="480"/>
      <c r="Y74" s="480"/>
      <c r="Z74" s="480"/>
      <c r="AA74" s="480"/>
      <c r="AB74" s="480"/>
      <c r="AC74" s="480"/>
      <c r="AD74" s="480"/>
      <c r="AE74" s="480"/>
      <c r="AF74" s="480"/>
      <c r="AG74" s="480"/>
      <c r="AH74" s="480"/>
      <c r="AI74" s="480"/>
      <c r="AJ74" s="480"/>
      <c r="AK74" s="480"/>
      <c r="AL74" s="480"/>
      <c r="AM74" s="480"/>
      <c r="AN74" s="480"/>
      <c r="AO74" s="480"/>
      <c r="AP74" s="480"/>
      <c r="AQ74" s="480"/>
      <c r="AR74" s="480"/>
      <c r="AS74" s="480"/>
      <c r="AT74" s="480"/>
      <c r="AU74" s="480"/>
      <c r="AV74" s="480"/>
      <c r="AW74" s="480"/>
      <c r="AX74" s="480"/>
      <c r="AY74" s="480"/>
      <c r="AZ74" s="480"/>
      <c r="BA74" s="480"/>
      <c r="BB74" s="480"/>
      <c r="BC74" s="480"/>
      <c r="BD74" s="480"/>
      <c r="BE74" s="480"/>
      <c r="BF74" s="480"/>
      <c r="BG74" s="480"/>
      <c r="BH74" s="480"/>
      <c r="BI74" s="480"/>
      <c r="BJ74" s="480"/>
    </row>
    <row r="75" spans="1:62" s="481" customFormat="1" ht="13.95" customHeight="1" x14ac:dyDescent="0.3">
      <c r="A75" s="666" t="s">
        <v>3561</v>
      </c>
      <c r="B75" s="651" t="s">
        <v>3562</v>
      </c>
      <c r="C75" s="43">
        <v>0</v>
      </c>
      <c r="D75" s="43">
        <v>0.7</v>
      </c>
      <c r="E75" s="694">
        <v>1.39</v>
      </c>
      <c r="F75" s="727">
        <v>5564</v>
      </c>
      <c r="G75" s="662" t="s">
        <v>32</v>
      </c>
      <c r="H75" s="53"/>
      <c r="I75" s="33"/>
      <c r="J75" s="34"/>
      <c r="K75" s="34"/>
      <c r="L75" s="34"/>
      <c r="M75" s="34"/>
      <c r="N75" s="34"/>
      <c r="O75" s="34"/>
      <c r="P75" s="34"/>
      <c r="Q75" s="34"/>
      <c r="R75" s="33">
        <v>70940050256</v>
      </c>
      <c r="S75" s="482"/>
      <c r="T75" s="664" t="s">
        <v>31</v>
      </c>
      <c r="U75" s="1123"/>
      <c r="V75" s="480"/>
      <c r="W75" s="480"/>
      <c r="X75" s="480"/>
      <c r="Y75" s="480"/>
      <c r="Z75" s="480"/>
      <c r="AA75" s="480"/>
      <c r="AB75" s="480"/>
      <c r="AC75" s="480"/>
      <c r="AD75" s="480"/>
      <c r="AE75" s="480"/>
      <c r="AF75" s="480"/>
      <c r="AG75" s="480"/>
      <c r="AH75" s="480"/>
      <c r="AI75" s="480"/>
      <c r="AJ75" s="480"/>
      <c r="AK75" s="480"/>
      <c r="AL75" s="480"/>
      <c r="AM75" s="480"/>
      <c r="AN75" s="480"/>
      <c r="AO75" s="480"/>
      <c r="AP75" s="480"/>
      <c r="AQ75" s="480"/>
      <c r="AR75" s="480"/>
      <c r="AS75" s="480"/>
      <c r="AT75" s="480"/>
      <c r="AU75" s="480"/>
      <c r="AV75" s="480"/>
      <c r="AW75" s="480"/>
      <c r="AX75" s="480"/>
      <c r="AY75" s="480"/>
      <c r="AZ75" s="480"/>
      <c r="BA75" s="480"/>
      <c r="BB75" s="480"/>
      <c r="BC75" s="480"/>
      <c r="BD75" s="480"/>
      <c r="BE75" s="480"/>
      <c r="BF75" s="480"/>
      <c r="BG75" s="480"/>
      <c r="BH75" s="480"/>
      <c r="BI75" s="480"/>
      <c r="BJ75" s="480"/>
    </row>
    <row r="76" spans="1:62" s="481" customFormat="1" ht="15" customHeight="1" x14ac:dyDescent="0.3">
      <c r="A76" s="748"/>
      <c r="B76" s="711"/>
      <c r="C76" s="79">
        <v>0.7</v>
      </c>
      <c r="D76" s="48">
        <v>1.35</v>
      </c>
      <c r="E76" s="695"/>
      <c r="F76" s="728"/>
      <c r="G76" s="714"/>
      <c r="H76" s="14"/>
      <c r="I76" s="14"/>
      <c r="J76" s="13"/>
      <c r="K76" s="13"/>
      <c r="L76" s="13"/>
      <c r="M76" s="13"/>
      <c r="N76" s="13"/>
      <c r="O76" s="13"/>
      <c r="P76" s="13"/>
      <c r="Q76" s="13"/>
      <c r="R76" s="14">
        <v>70940060256</v>
      </c>
      <c r="S76" s="96"/>
      <c r="T76" s="724"/>
      <c r="U76" s="1123"/>
      <c r="V76" s="480"/>
      <c r="W76" s="480"/>
      <c r="X76" s="480"/>
      <c r="Y76" s="480"/>
      <c r="Z76" s="480"/>
      <c r="AA76" s="480"/>
      <c r="AB76" s="480"/>
      <c r="AC76" s="480"/>
      <c r="AD76" s="480"/>
      <c r="AE76" s="480"/>
      <c r="AF76" s="480"/>
      <c r="AG76" s="480"/>
      <c r="AH76" s="480"/>
      <c r="AI76" s="480"/>
      <c r="AJ76" s="480"/>
      <c r="AK76" s="480"/>
      <c r="AL76" s="480"/>
      <c r="AM76" s="480"/>
      <c r="AN76" s="480"/>
      <c r="AO76" s="480"/>
      <c r="AP76" s="480"/>
      <c r="AQ76" s="480"/>
      <c r="AR76" s="480"/>
      <c r="AS76" s="480"/>
      <c r="AT76" s="480"/>
      <c r="AU76" s="480"/>
      <c r="AV76" s="480"/>
      <c r="AW76" s="480"/>
      <c r="AX76" s="480"/>
      <c r="AY76" s="480"/>
      <c r="AZ76" s="480"/>
      <c r="BA76" s="480"/>
      <c r="BB76" s="480"/>
      <c r="BC76" s="480"/>
      <c r="BD76" s="480"/>
      <c r="BE76" s="480"/>
      <c r="BF76" s="480"/>
      <c r="BG76" s="480"/>
      <c r="BH76" s="480"/>
      <c r="BI76" s="480"/>
      <c r="BJ76" s="480"/>
    </row>
    <row r="77" spans="1:62" s="480" customFormat="1" ht="15.75" customHeight="1" thickBot="1" x14ac:dyDescent="0.35">
      <c r="A77" s="667"/>
      <c r="B77" s="652"/>
      <c r="C77" s="46">
        <v>1.35</v>
      </c>
      <c r="D77" s="46">
        <v>1.39</v>
      </c>
      <c r="E77" s="696"/>
      <c r="F77" s="729"/>
      <c r="G77" s="663"/>
      <c r="H77" s="57"/>
      <c r="I77" s="20"/>
      <c r="J77" s="19"/>
      <c r="K77" s="19"/>
      <c r="L77" s="19"/>
      <c r="M77" s="19"/>
      <c r="N77" s="19"/>
      <c r="O77" s="19"/>
      <c r="P77" s="19"/>
      <c r="Q77" s="19"/>
      <c r="R77" s="20" t="s">
        <v>3563</v>
      </c>
      <c r="S77" s="483"/>
      <c r="T77" s="665"/>
      <c r="U77" s="469"/>
    </row>
    <row r="78" spans="1:62" s="480" customFormat="1" ht="24.6" thickBot="1" x14ac:dyDescent="0.35">
      <c r="A78" s="22" t="s">
        <v>3564</v>
      </c>
      <c r="B78" s="23" t="s">
        <v>3565</v>
      </c>
      <c r="C78" s="41">
        <v>0</v>
      </c>
      <c r="D78" s="41">
        <v>1.41</v>
      </c>
      <c r="E78" s="41">
        <v>1.41</v>
      </c>
      <c r="F78" s="27">
        <v>5634</v>
      </c>
      <c r="G78" s="3" t="s">
        <v>3555</v>
      </c>
      <c r="H78" s="3"/>
      <c r="I78" s="3"/>
      <c r="J78" s="27"/>
      <c r="K78" s="27"/>
      <c r="L78" s="27"/>
      <c r="M78" s="27"/>
      <c r="N78" s="27"/>
      <c r="O78" s="27"/>
      <c r="P78" s="27"/>
      <c r="Q78" s="27"/>
      <c r="R78" s="3">
        <v>70940030276</v>
      </c>
      <c r="S78" s="114"/>
      <c r="T78" s="5" t="s">
        <v>31</v>
      </c>
      <c r="U78" s="469"/>
    </row>
    <row r="79" spans="1:62" s="481" customFormat="1" ht="15" customHeight="1" x14ac:dyDescent="0.3">
      <c r="A79" s="666" t="s">
        <v>3566</v>
      </c>
      <c r="B79" s="651" t="s">
        <v>3567</v>
      </c>
      <c r="C79" s="43">
        <v>0</v>
      </c>
      <c r="D79" s="43">
        <v>0.33</v>
      </c>
      <c r="E79" s="694">
        <v>1.78</v>
      </c>
      <c r="F79" s="727">
        <v>7116</v>
      </c>
      <c r="G79" s="662" t="s">
        <v>32</v>
      </c>
      <c r="H79" s="53"/>
      <c r="I79" s="33"/>
      <c r="J79" s="34"/>
      <c r="K79" s="34"/>
      <c r="L79" s="34"/>
      <c r="M79" s="34"/>
      <c r="N79" s="34"/>
      <c r="O79" s="34"/>
      <c r="P79" s="34"/>
      <c r="Q79" s="34"/>
      <c r="R79" s="33">
        <v>70940020244</v>
      </c>
      <c r="S79" s="482"/>
      <c r="T79" s="664" t="s">
        <v>31</v>
      </c>
      <c r="U79" s="1123"/>
      <c r="V79" s="480"/>
      <c r="W79" s="480"/>
      <c r="X79" s="480"/>
      <c r="Y79" s="480"/>
      <c r="Z79" s="480"/>
      <c r="AA79" s="480"/>
      <c r="AB79" s="480"/>
      <c r="AC79" s="480"/>
      <c r="AD79" s="480"/>
      <c r="AE79" s="480"/>
      <c r="AF79" s="480"/>
      <c r="AG79" s="480"/>
      <c r="AH79" s="480"/>
      <c r="AI79" s="480"/>
      <c r="AJ79" s="480"/>
      <c r="AK79" s="480"/>
      <c r="AL79" s="480"/>
      <c r="AM79" s="480"/>
      <c r="AN79" s="480"/>
      <c r="AO79" s="480"/>
      <c r="AP79" s="480"/>
      <c r="AQ79" s="480"/>
      <c r="AR79" s="480"/>
      <c r="AS79" s="480"/>
      <c r="AT79" s="480"/>
      <c r="AU79" s="480"/>
      <c r="AV79" s="480"/>
      <c r="AW79" s="480"/>
      <c r="AX79" s="480"/>
      <c r="AY79" s="480"/>
      <c r="AZ79" s="480"/>
      <c r="BA79" s="480"/>
      <c r="BB79" s="480"/>
      <c r="BC79" s="480"/>
      <c r="BD79" s="480"/>
      <c r="BE79" s="480"/>
      <c r="BF79" s="480"/>
      <c r="BG79" s="480"/>
      <c r="BH79" s="480"/>
      <c r="BI79" s="480"/>
      <c r="BJ79" s="480"/>
    </row>
    <row r="80" spans="1:62" s="481" customFormat="1" ht="15" customHeight="1" x14ac:dyDescent="0.3">
      <c r="A80" s="748"/>
      <c r="B80" s="711"/>
      <c r="C80" s="79">
        <v>0.33</v>
      </c>
      <c r="D80" s="48">
        <v>0.57999999999999996</v>
      </c>
      <c r="E80" s="695"/>
      <c r="F80" s="728"/>
      <c r="G80" s="714"/>
      <c r="H80" s="93"/>
      <c r="I80" s="14"/>
      <c r="J80" s="13"/>
      <c r="K80" s="13"/>
      <c r="L80" s="13"/>
      <c r="M80" s="13"/>
      <c r="N80" s="13"/>
      <c r="O80" s="13"/>
      <c r="P80" s="13"/>
      <c r="Q80" s="13"/>
      <c r="R80" s="14" t="s">
        <v>3568</v>
      </c>
      <c r="S80" s="96"/>
      <c r="T80" s="724"/>
      <c r="U80" s="1123"/>
      <c r="V80" s="480"/>
      <c r="W80" s="480"/>
      <c r="X80" s="480"/>
      <c r="Y80" s="480"/>
      <c r="Z80" s="480"/>
      <c r="AA80" s="480"/>
      <c r="AB80" s="480"/>
      <c r="AC80" s="480"/>
      <c r="AD80" s="480"/>
      <c r="AE80" s="480"/>
      <c r="AF80" s="480"/>
      <c r="AG80" s="480"/>
      <c r="AH80" s="480"/>
      <c r="AI80" s="480"/>
      <c r="AJ80" s="480"/>
      <c r="AK80" s="480"/>
      <c r="AL80" s="480"/>
      <c r="AM80" s="480"/>
      <c r="AN80" s="480"/>
      <c r="AO80" s="480"/>
      <c r="AP80" s="480"/>
      <c r="AQ80" s="480"/>
      <c r="AR80" s="480"/>
      <c r="AS80" s="480"/>
      <c r="AT80" s="480"/>
      <c r="AU80" s="480"/>
      <c r="AV80" s="480"/>
      <c r="AW80" s="480"/>
      <c r="AX80" s="480"/>
      <c r="AY80" s="480"/>
      <c r="AZ80" s="480"/>
      <c r="BA80" s="480"/>
      <c r="BB80" s="480"/>
      <c r="BC80" s="480"/>
      <c r="BD80" s="480"/>
      <c r="BE80" s="480"/>
      <c r="BF80" s="480"/>
      <c r="BG80" s="480"/>
      <c r="BH80" s="480"/>
      <c r="BI80" s="480"/>
      <c r="BJ80" s="480"/>
    </row>
    <row r="81" spans="1:62" s="481" customFormat="1" ht="15" customHeight="1" x14ac:dyDescent="0.3">
      <c r="A81" s="748"/>
      <c r="B81" s="711"/>
      <c r="C81" s="48">
        <v>0.57999999999999996</v>
      </c>
      <c r="D81" s="48">
        <v>0.79</v>
      </c>
      <c r="E81" s="695"/>
      <c r="F81" s="728"/>
      <c r="G81" s="714"/>
      <c r="H81" s="93"/>
      <c r="I81" s="14"/>
      <c r="J81" s="13"/>
      <c r="K81" s="13"/>
      <c r="L81" s="13"/>
      <c r="M81" s="13"/>
      <c r="N81" s="13"/>
      <c r="O81" s="13"/>
      <c r="P81" s="13"/>
      <c r="Q81" s="13"/>
      <c r="R81" s="14">
        <v>70940020224</v>
      </c>
      <c r="S81" s="96"/>
      <c r="T81" s="724"/>
      <c r="U81" s="1123"/>
      <c r="V81" s="480"/>
      <c r="W81" s="480"/>
      <c r="X81" s="480"/>
      <c r="Y81" s="480"/>
      <c r="Z81" s="480"/>
      <c r="AA81" s="480"/>
      <c r="AB81" s="480"/>
      <c r="AC81" s="480"/>
      <c r="AD81" s="480"/>
      <c r="AE81" s="480"/>
      <c r="AF81" s="480"/>
      <c r="AG81" s="480"/>
      <c r="AH81" s="480"/>
      <c r="AI81" s="480"/>
      <c r="AJ81" s="480"/>
      <c r="AK81" s="480"/>
      <c r="AL81" s="480"/>
      <c r="AM81" s="480"/>
      <c r="AN81" s="480"/>
      <c r="AO81" s="480"/>
      <c r="AP81" s="480"/>
      <c r="AQ81" s="480"/>
      <c r="AR81" s="480"/>
      <c r="AS81" s="480"/>
      <c r="AT81" s="480"/>
      <c r="AU81" s="480"/>
      <c r="AV81" s="480"/>
      <c r="AW81" s="480"/>
      <c r="AX81" s="480"/>
      <c r="AY81" s="480"/>
      <c r="AZ81" s="480"/>
      <c r="BA81" s="480"/>
      <c r="BB81" s="480"/>
      <c r="BC81" s="480"/>
      <c r="BD81" s="480"/>
      <c r="BE81" s="480"/>
      <c r="BF81" s="480"/>
      <c r="BG81" s="480"/>
      <c r="BH81" s="480"/>
      <c r="BI81" s="480"/>
      <c r="BJ81" s="480"/>
    </row>
    <row r="82" spans="1:62" s="481" customFormat="1" ht="15.75" customHeight="1" thickBot="1" x14ac:dyDescent="0.35">
      <c r="A82" s="667"/>
      <c r="B82" s="652"/>
      <c r="C82" s="46">
        <v>0.79</v>
      </c>
      <c r="D82" s="46">
        <v>1.78</v>
      </c>
      <c r="E82" s="696"/>
      <c r="F82" s="729"/>
      <c r="G82" s="663"/>
      <c r="H82" s="20"/>
      <c r="I82" s="20"/>
      <c r="J82" s="19"/>
      <c r="K82" s="19"/>
      <c r="L82" s="19"/>
      <c r="M82" s="19"/>
      <c r="N82" s="19"/>
      <c r="O82" s="19"/>
      <c r="P82" s="19"/>
      <c r="Q82" s="19"/>
      <c r="R82" s="20">
        <v>70940030252</v>
      </c>
      <c r="S82" s="483"/>
      <c r="T82" s="665"/>
      <c r="U82" s="1123"/>
      <c r="V82" s="480"/>
      <c r="W82" s="480"/>
      <c r="X82" s="480"/>
      <c r="Y82" s="480"/>
      <c r="Z82" s="480"/>
      <c r="AA82" s="480"/>
      <c r="AB82" s="480"/>
      <c r="AC82" s="480"/>
      <c r="AD82" s="480"/>
      <c r="AE82" s="480"/>
      <c r="AF82" s="480"/>
      <c r="AG82" s="480"/>
      <c r="AH82" s="480"/>
      <c r="AI82" s="480"/>
      <c r="AJ82" s="480"/>
      <c r="AK82" s="480"/>
      <c r="AL82" s="480"/>
      <c r="AM82" s="480"/>
      <c r="AN82" s="480"/>
      <c r="AO82" s="480"/>
      <c r="AP82" s="480"/>
      <c r="AQ82" s="480"/>
      <c r="AR82" s="480"/>
      <c r="AS82" s="480"/>
      <c r="AT82" s="480"/>
      <c r="AU82" s="480"/>
      <c r="AV82" s="480"/>
      <c r="AW82" s="480"/>
      <c r="AX82" s="480"/>
      <c r="AY82" s="480"/>
      <c r="AZ82" s="480"/>
      <c r="BA82" s="480"/>
      <c r="BB82" s="480"/>
      <c r="BC82" s="480"/>
      <c r="BD82" s="480"/>
      <c r="BE82" s="480"/>
      <c r="BF82" s="480"/>
      <c r="BG82" s="480"/>
      <c r="BH82" s="480"/>
      <c r="BI82" s="480"/>
      <c r="BJ82" s="480"/>
    </row>
    <row r="83" spans="1:62" s="480" customFormat="1" ht="13.95" customHeight="1" x14ac:dyDescent="0.3">
      <c r="A83" s="666" t="s">
        <v>3569</v>
      </c>
      <c r="B83" s="651" t="s">
        <v>3570</v>
      </c>
      <c r="C83" s="43">
        <v>0</v>
      </c>
      <c r="D83" s="43">
        <v>0.48</v>
      </c>
      <c r="E83" s="694">
        <v>0.9</v>
      </c>
      <c r="F83" s="727">
        <v>3581</v>
      </c>
      <c r="G83" s="662" t="s">
        <v>32</v>
      </c>
      <c r="H83" s="89"/>
      <c r="I83" s="33"/>
      <c r="J83" s="34"/>
      <c r="K83" s="34"/>
      <c r="L83" s="34"/>
      <c r="M83" s="34"/>
      <c r="N83" s="34"/>
      <c r="O83" s="34"/>
      <c r="P83" s="34"/>
      <c r="Q83" s="34"/>
      <c r="R83" s="33">
        <v>70940010086</v>
      </c>
      <c r="S83" s="34"/>
      <c r="T83" s="664" t="s">
        <v>31</v>
      </c>
      <c r="U83" s="467"/>
    </row>
    <row r="84" spans="1:62" s="480" customFormat="1" ht="15" customHeight="1" x14ac:dyDescent="0.3">
      <c r="A84" s="748"/>
      <c r="B84" s="711"/>
      <c r="C84" s="79">
        <v>0.48</v>
      </c>
      <c r="D84" s="48">
        <v>0.62</v>
      </c>
      <c r="E84" s="695"/>
      <c r="F84" s="728"/>
      <c r="G84" s="714"/>
      <c r="H84" s="13"/>
      <c r="I84" s="14"/>
      <c r="J84" s="13"/>
      <c r="K84" s="13"/>
      <c r="L84" s="13"/>
      <c r="M84" s="13"/>
      <c r="N84" s="13"/>
      <c r="O84" s="13"/>
      <c r="P84" s="13"/>
      <c r="Q84" s="13"/>
      <c r="R84" s="14" t="s">
        <v>3571</v>
      </c>
      <c r="S84" s="13"/>
      <c r="T84" s="724"/>
      <c r="U84" s="469"/>
    </row>
    <row r="85" spans="1:62" s="480" customFormat="1" ht="15.75" customHeight="1" thickBot="1" x14ac:dyDescent="0.35">
      <c r="A85" s="667"/>
      <c r="B85" s="652"/>
      <c r="C85" s="46">
        <v>0.62</v>
      </c>
      <c r="D85" s="46">
        <v>0.9</v>
      </c>
      <c r="E85" s="696"/>
      <c r="F85" s="729"/>
      <c r="G85" s="663"/>
      <c r="H85" s="57"/>
      <c r="I85" s="20"/>
      <c r="J85" s="19"/>
      <c r="K85" s="19"/>
      <c r="L85" s="19"/>
      <c r="M85" s="19"/>
      <c r="N85" s="19"/>
      <c r="O85" s="19"/>
      <c r="P85" s="19"/>
      <c r="Q85" s="19"/>
      <c r="R85" s="20" t="s">
        <v>3572</v>
      </c>
      <c r="S85" s="19"/>
      <c r="T85" s="665"/>
      <c r="U85" s="469"/>
    </row>
    <row r="86" spans="1:62" s="480" customFormat="1" ht="24.6" thickBot="1" x14ac:dyDescent="0.35">
      <c r="A86" s="22" t="s">
        <v>3573</v>
      </c>
      <c r="B86" s="23" t="s">
        <v>3574</v>
      </c>
      <c r="C86" s="41">
        <v>0</v>
      </c>
      <c r="D86" s="41">
        <v>0.42</v>
      </c>
      <c r="E86" s="41">
        <v>0.42</v>
      </c>
      <c r="F86" s="27">
        <v>1681</v>
      </c>
      <c r="G86" s="3" t="s">
        <v>3555</v>
      </c>
      <c r="H86" s="39"/>
      <c r="I86" s="3"/>
      <c r="J86" s="27"/>
      <c r="K86" s="27"/>
      <c r="L86" s="27"/>
      <c r="M86" s="27"/>
      <c r="N86" s="27"/>
      <c r="O86" s="27"/>
      <c r="P86" s="27"/>
      <c r="Q86" s="27"/>
      <c r="R86" s="3">
        <v>70940040267</v>
      </c>
      <c r="S86" s="27"/>
      <c r="T86" s="5" t="s">
        <v>31</v>
      </c>
      <c r="U86" s="469"/>
    </row>
    <row r="87" spans="1:62" s="480" customFormat="1" ht="13.8" x14ac:dyDescent="0.3">
      <c r="A87" s="666" t="s">
        <v>3575</v>
      </c>
      <c r="B87" s="651" t="s">
        <v>3576</v>
      </c>
      <c r="C87" s="43">
        <v>0</v>
      </c>
      <c r="D87" s="43">
        <v>0.37</v>
      </c>
      <c r="E87" s="694">
        <v>0.39</v>
      </c>
      <c r="F87" s="727">
        <v>1562</v>
      </c>
      <c r="G87" s="662" t="s">
        <v>32</v>
      </c>
      <c r="H87" s="36"/>
      <c r="I87" s="33"/>
      <c r="J87" s="34"/>
      <c r="K87" s="34"/>
      <c r="L87" s="34"/>
      <c r="M87" s="34"/>
      <c r="N87" s="34"/>
      <c r="O87" s="34"/>
      <c r="P87" s="34"/>
      <c r="Q87" s="34"/>
      <c r="R87" s="33" t="s">
        <v>3577</v>
      </c>
      <c r="S87" s="34"/>
      <c r="T87" s="664" t="s">
        <v>31</v>
      </c>
      <c r="U87" s="1171"/>
    </row>
    <row r="88" spans="1:62" s="480" customFormat="1" ht="15.75" customHeight="1" thickBot="1" x14ac:dyDescent="0.35">
      <c r="A88" s="667"/>
      <c r="B88" s="652"/>
      <c r="C88" s="68">
        <v>0.37</v>
      </c>
      <c r="D88" s="46">
        <v>0.39</v>
      </c>
      <c r="E88" s="696"/>
      <c r="F88" s="729"/>
      <c r="G88" s="663"/>
      <c r="H88" s="403"/>
      <c r="I88" s="20"/>
      <c r="J88" s="19"/>
      <c r="K88" s="19"/>
      <c r="L88" s="19"/>
      <c r="M88" s="19"/>
      <c r="N88" s="19"/>
      <c r="O88" s="19"/>
      <c r="P88" s="19"/>
      <c r="Q88" s="19"/>
      <c r="R88" s="20">
        <v>70940040315</v>
      </c>
      <c r="S88" s="19"/>
      <c r="T88" s="665"/>
      <c r="U88" s="1171"/>
    </row>
    <row r="89" spans="1:62" s="480" customFormat="1" ht="24.6" thickBot="1" x14ac:dyDescent="0.35">
      <c r="A89" s="22" t="s">
        <v>3578</v>
      </c>
      <c r="B89" s="23" t="s">
        <v>3579</v>
      </c>
      <c r="C89" s="41">
        <v>0</v>
      </c>
      <c r="D89" s="41">
        <v>0.24</v>
      </c>
      <c r="E89" s="41">
        <v>0.24</v>
      </c>
      <c r="F89" s="27">
        <v>962</v>
      </c>
      <c r="G89" s="3" t="s">
        <v>3555</v>
      </c>
      <c r="H89" s="26"/>
      <c r="I89" s="27"/>
      <c r="J89" s="27"/>
      <c r="K89" s="27"/>
      <c r="L89" s="27"/>
      <c r="M89" s="27"/>
      <c r="N89" s="27"/>
      <c r="O89" s="27"/>
      <c r="P89" s="27"/>
      <c r="Q89" s="27"/>
      <c r="R89" s="3">
        <v>70940020225</v>
      </c>
      <c r="S89" s="27"/>
      <c r="T89" s="5" t="s">
        <v>31</v>
      </c>
      <c r="U89" s="469"/>
    </row>
    <row r="90" spans="1:62" s="480" customFormat="1" ht="24.6" thickBot="1" x14ac:dyDescent="0.35">
      <c r="A90" s="22" t="s">
        <v>3580</v>
      </c>
      <c r="B90" s="23" t="s">
        <v>3581</v>
      </c>
      <c r="C90" s="41">
        <v>0</v>
      </c>
      <c r="D90" s="41">
        <v>0.96</v>
      </c>
      <c r="E90" s="41">
        <v>0.96</v>
      </c>
      <c r="F90" s="27">
        <v>3845</v>
      </c>
      <c r="G90" s="3" t="s">
        <v>32</v>
      </c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3">
        <v>70940060249</v>
      </c>
      <c r="S90" s="27"/>
      <c r="T90" s="5" t="s">
        <v>31</v>
      </c>
      <c r="U90" s="469"/>
    </row>
    <row r="91" spans="1:62" s="480" customFormat="1" ht="24.6" thickBot="1" x14ac:dyDescent="0.35">
      <c r="A91" s="22" t="s">
        <v>3582</v>
      </c>
      <c r="B91" s="23" t="s">
        <v>3583</v>
      </c>
      <c r="C91" s="41">
        <v>0</v>
      </c>
      <c r="D91" s="41">
        <v>0.39</v>
      </c>
      <c r="E91" s="41">
        <v>0.39</v>
      </c>
      <c r="F91" s="27">
        <v>1548</v>
      </c>
      <c r="G91" s="3" t="s">
        <v>32</v>
      </c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3">
        <v>70940010083</v>
      </c>
      <c r="S91" s="27"/>
      <c r="T91" s="5" t="s">
        <v>31</v>
      </c>
      <c r="U91" s="469"/>
    </row>
    <row r="92" spans="1:62" s="480" customFormat="1" ht="15" customHeight="1" x14ac:dyDescent="0.3">
      <c r="A92" s="666" t="s">
        <v>3584</v>
      </c>
      <c r="B92" s="651" t="s">
        <v>3585</v>
      </c>
      <c r="C92" s="43">
        <v>0</v>
      </c>
      <c r="D92" s="43">
        <v>0.24</v>
      </c>
      <c r="E92" s="694">
        <v>0.81</v>
      </c>
      <c r="F92" s="727">
        <v>3241</v>
      </c>
      <c r="G92" s="662" t="s">
        <v>32</v>
      </c>
      <c r="H92" s="486"/>
      <c r="I92" s="34"/>
      <c r="J92" s="34"/>
      <c r="K92" s="34"/>
      <c r="L92" s="34"/>
      <c r="M92" s="34"/>
      <c r="N92" s="34"/>
      <c r="O92" s="34"/>
      <c r="P92" s="34"/>
      <c r="Q92" s="34"/>
      <c r="R92" s="33" t="s">
        <v>3586</v>
      </c>
      <c r="S92" s="34"/>
      <c r="T92" s="664" t="s">
        <v>31</v>
      </c>
      <c r="U92" s="469"/>
    </row>
    <row r="93" spans="1:62" s="480" customFormat="1" ht="15" customHeight="1" x14ac:dyDescent="0.3">
      <c r="A93" s="748"/>
      <c r="B93" s="711"/>
      <c r="C93" s="79">
        <v>0.24</v>
      </c>
      <c r="D93" s="48">
        <v>0.42</v>
      </c>
      <c r="E93" s="695"/>
      <c r="F93" s="728"/>
      <c r="G93" s="714"/>
      <c r="H93" s="487"/>
      <c r="I93" s="13"/>
      <c r="J93" s="13"/>
      <c r="K93" s="13"/>
      <c r="L93" s="13"/>
      <c r="M93" s="13"/>
      <c r="N93" s="13"/>
      <c r="O93" s="13"/>
      <c r="P93" s="13"/>
      <c r="Q93" s="13"/>
      <c r="R93" s="14" t="s">
        <v>3587</v>
      </c>
      <c r="S93" s="13"/>
      <c r="T93" s="724"/>
      <c r="U93" s="469"/>
    </row>
    <row r="94" spans="1:62" s="480" customFormat="1" ht="15.75" customHeight="1" thickBot="1" x14ac:dyDescent="0.35">
      <c r="A94" s="667"/>
      <c r="B94" s="652"/>
      <c r="C94" s="46">
        <v>0.42</v>
      </c>
      <c r="D94" s="46">
        <v>0.81</v>
      </c>
      <c r="E94" s="696"/>
      <c r="F94" s="729"/>
      <c r="G94" s="663"/>
      <c r="H94" s="18"/>
      <c r="I94" s="19"/>
      <c r="J94" s="19"/>
      <c r="K94" s="19"/>
      <c r="L94" s="19"/>
      <c r="M94" s="19"/>
      <c r="N94" s="19"/>
      <c r="O94" s="19"/>
      <c r="P94" s="19"/>
      <c r="Q94" s="19"/>
      <c r="R94" s="20">
        <v>70940030233</v>
      </c>
      <c r="S94" s="19"/>
      <c r="T94" s="665"/>
      <c r="U94" s="469"/>
    </row>
    <row r="95" spans="1:62" s="480" customFormat="1" ht="13.95" customHeight="1" x14ac:dyDescent="0.3">
      <c r="A95" s="666" t="s">
        <v>3588</v>
      </c>
      <c r="B95" s="651" t="s">
        <v>3589</v>
      </c>
      <c r="C95" s="43">
        <v>0</v>
      </c>
      <c r="D95" s="43">
        <v>0.2</v>
      </c>
      <c r="E95" s="694">
        <v>0.65</v>
      </c>
      <c r="F95" s="727">
        <v>2602</v>
      </c>
      <c r="G95" s="662" t="s">
        <v>32</v>
      </c>
      <c r="H95" s="486"/>
      <c r="I95" s="34"/>
      <c r="J95" s="34"/>
      <c r="K95" s="34"/>
      <c r="L95" s="34"/>
      <c r="M95" s="34"/>
      <c r="N95" s="34"/>
      <c r="O95" s="34"/>
      <c r="P95" s="34"/>
      <c r="Q95" s="34"/>
      <c r="R95" s="33">
        <v>70940040266</v>
      </c>
      <c r="S95" s="34"/>
      <c r="T95" s="664" t="s">
        <v>31</v>
      </c>
      <c r="U95" s="488"/>
    </row>
    <row r="96" spans="1:62" s="480" customFormat="1" ht="15" customHeight="1" x14ac:dyDescent="0.3">
      <c r="A96" s="748"/>
      <c r="B96" s="711"/>
      <c r="C96" s="79">
        <v>0.2</v>
      </c>
      <c r="D96" s="48">
        <v>0.3</v>
      </c>
      <c r="E96" s="695"/>
      <c r="F96" s="728"/>
      <c r="G96" s="714"/>
      <c r="H96" s="12"/>
      <c r="I96" s="13"/>
      <c r="J96" s="13"/>
      <c r="K96" s="13"/>
      <c r="L96" s="13"/>
      <c r="M96" s="13"/>
      <c r="N96" s="13"/>
      <c r="O96" s="13"/>
      <c r="P96" s="13"/>
      <c r="Q96" s="13"/>
      <c r="R96" s="14" t="s">
        <v>3590</v>
      </c>
      <c r="S96" s="13"/>
      <c r="T96" s="724"/>
      <c r="U96" s="469"/>
    </row>
    <row r="97" spans="1:21" s="480" customFormat="1" ht="15" customHeight="1" x14ac:dyDescent="0.3">
      <c r="A97" s="748"/>
      <c r="B97" s="711"/>
      <c r="C97" s="48">
        <v>0.3</v>
      </c>
      <c r="D97" s="48">
        <v>0.5</v>
      </c>
      <c r="E97" s="695"/>
      <c r="F97" s="728"/>
      <c r="G97" s="714"/>
      <c r="H97" s="489"/>
      <c r="I97" s="13"/>
      <c r="J97" s="13"/>
      <c r="K97" s="13"/>
      <c r="L97" s="13"/>
      <c r="M97" s="13"/>
      <c r="N97" s="13"/>
      <c r="O97" s="13"/>
      <c r="P97" s="13"/>
      <c r="Q97" s="13"/>
      <c r="R97" s="14" t="s">
        <v>3591</v>
      </c>
      <c r="S97" s="13"/>
      <c r="T97" s="724"/>
      <c r="U97" s="469"/>
    </row>
    <row r="98" spans="1:21" s="480" customFormat="1" ht="15.75" customHeight="1" thickBot="1" x14ac:dyDescent="0.35">
      <c r="A98" s="667"/>
      <c r="B98" s="652"/>
      <c r="C98" s="46">
        <v>0.5</v>
      </c>
      <c r="D98" s="46">
        <v>0.65</v>
      </c>
      <c r="E98" s="696"/>
      <c r="F98" s="729"/>
      <c r="G98" s="663"/>
      <c r="H98" s="18"/>
      <c r="I98" s="19"/>
      <c r="J98" s="19"/>
      <c r="K98" s="19"/>
      <c r="L98" s="19"/>
      <c r="M98" s="19"/>
      <c r="N98" s="19"/>
      <c r="O98" s="19"/>
      <c r="P98" s="19"/>
      <c r="Q98" s="19"/>
      <c r="R98" s="20" t="s">
        <v>3592</v>
      </c>
      <c r="S98" s="19"/>
      <c r="T98" s="665"/>
      <c r="U98" s="469"/>
    </row>
    <row r="99" spans="1:21" s="480" customFormat="1" ht="15" customHeight="1" x14ac:dyDescent="0.3">
      <c r="A99" s="604" t="s">
        <v>3593</v>
      </c>
      <c r="B99" s="1182" t="s">
        <v>3594</v>
      </c>
      <c r="C99" s="43">
        <v>0</v>
      </c>
      <c r="D99" s="43">
        <v>0.23</v>
      </c>
      <c r="E99" s="694">
        <v>1.02</v>
      </c>
      <c r="F99" s="727">
        <v>4059</v>
      </c>
      <c r="G99" s="662" t="s">
        <v>32</v>
      </c>
      <c r="H99" s="89"/>
      <c r="I99" s="34"/>
      <c r="J99" s="34"/>
      <c r="K99" s="34"/>
      <c r="L99" s="34"/>
      <c r="M99" s="34"/>
      <c r="N99" s="34"/>
      <c r="O99" s="34"/>
      <c r="P99" s="34"/>
      <c r="Q99" s="34"/>
      <c r="R99" s="33" t="s">
        <v>3595</v>
      </c>
      <c r="S99" s="34"/>
      <c r="T99" s="664" t="s">
        <v>31</v>
      </c>
      <c r="U99" s="469"/>
    </row>
    <row r="100" spans="1:21" s="480" customFormat="1" ht="15" customHeight="1" x14ac:dyDescent="0.3">
      <c r="A100" s="605"/>
      <c r="B100" s="1183"/>
      <c r="C100" s="79">
        <v>0.23</v>
      </c>
      <c r="D100" s="48">
        <v>0.6</v>
      </c>
      <c r="E100" s="695"/>
      <c r="F100" s="728"/>
      <c r="G100" s="714"/>
      <c r="H100" s="92"/>
      <c r="I100" s="13"/>
      <c r="J100" s="13"/>
      <c r="K100" s="13"/>
      <c r="L100" s="13"/>
      <c r="M100" s="13"/>
      <c r="N100" s="13"/>
      <c r="O100" s="13"/>
      <c r="P100" s="13"/>
      <c r="Q100" s="13"/>
      <c r="R100" s="14">
        <v>70940020259</v>
      </c>
      <c r="S100" s="13"/>
      <c r="T100" s="724"/>
      <c r="U100" s="469"/>
    </row>
    <row r="101" spans="1:21" s="480" customFormat="1" ht="15" customHeight="1" x14ac:dyDescent="0.3">
      <c r="A101" s="605"/>
      <c r="B101" s="1183"/>
      <c r="C101" s="48">
        <v>0.6</v>
      </c>
      <c r="D101" s="48">
        <v>0.67</v>
      </c>
      <c r="E101" s="695"/>
      <c r="F101" s="728"/>
      <c r="G101" s="714"/>
      <c r="H101" s="92"/>
      <c r="I101" s="13"/>
      <c r="J101" s="13"/>
      <c r="K101" s="13"/>
      <c r="L101" s="13"/>
      <c r="M101" s="13"/>
      <c r="N101" s="13"/>
      <c r="O101" s="13"/>
      <c r="P101" s="13"/>
      <c r="Q101" s="13"/>
      <c r="R101" s="14" t="s">
        <v>3596</v>
      </c>
      <c r="S101" s="13"/>
      <c r="T101" s="724"/>
      <c r="U101" s="488"/>
    </row>
    <row r="102" spans="1:21" s="480" customFormat="1" ht="15" customHeight="1" x14ac:dyDescent="0.3">
      <c r="A102" s="605"/>
      <c r="B102" s="1183"/>
      <c r="C102" s="48">
        <v>0.67</v>
      </c>
      <c r="D102" s="48">
        <v>0.7</v>
      </c>
      <c r="E102" s="695"/>
      <c r="F102" s="728"/>
      <c r="G102" s="714"/>
      <c r="H102" s="92"/>
      <c r="I102" s="13"/>
      <c r="J102" s="13"/>
      <c r="K102" s="13"/>
      <c r="L102" s="13"/>
      <c r="M102" s="13"/>
      <c r="N102" s="13"/>
      <c r="O102" s="13"/>
      <c r="P102" s="13"/>
      <c r="Q102" s="13"/>
      <c r="R102" s="14" t="s">
        <v>3597</v>
      </c>
      <c r="S102" s="13"/>
      <c r="T102" s="724"/>
      <c r="U102" s="469"/>
    </row>
    <row r="103" spans="1:21" s="480" customFormat="1" ht="15.75" customHeight="1" thickBot="1" x14ac:dyDescent="0.35">
      <c r="A103" s="606"/>
      <c r="B103" s="1184"/>
      <c r="C103" s="46">
        <v>0.7</v>
      </c>
      <c r="D103" s="46">
        <v>1.02</v>
      </c>
      <c r="E103" s="696"/>
      <c r="F103" s="729"/>
      <c r="G103" s="663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20">
        <v>70940020226</v>
      </c>
      <c r="S103" s="19"/>
      <c r="T103" s="665"/>
      <c r="U103" s="469"/>
    </row>
    <row r="104" spans="1:21" s="480" customFormat="1" ht="15" customHeight="1" x14ac:dyDescent="0.3">
      <c r="A104" s="666" t="s">
        <v>3598</v>
      </c>
      <c r="B104" s="1179" t="s">
        <v>3599</v>
      </c>
      <c r="C104" s="43">
        <v>0</v>
      </c>
      <c r="D104" s="43">
        <v>0.16</v>
      </c>
      <c r="E104" s="694">
        <v>0.59</v>
      </c>
      <c r="F104" s="727">
        <v>2354</v>
      </c>
      <c r="G104" s="662" t="s">
        <v>32</v>
      </c>
      <c r="H104" s="53"/>
      <c r="I104" s="33"/>
      <c r="J104" s="33"/>
      <c r="K104" s="33"/>
      <c r="L104" s="33"/>
      <c r="M104" s="33"/>
      <c r="N104" s="33"/>
      <c r="O104" s="33"/>
      <c r="P104" s="34"/>
      <c r="Q104" s="34"/>
      <c r="R104" s="33">
        <v>70940050168</v>
      </c>
      <c r="S104" s="34"/>
      <c r="T104" s="664" t="s">
        <v>31</v>
      </c>
      <c r="U104" s="469"/>
    </row>
    <row r="105" spans="1:21" s="480" customFormat="1" ht="14.4" customHeight="1" x14ac:dyDescent="0.3">
      <c r="A105" s="748"/>
      <c r="B105" s="1180"/>
      <c r="C105" s="79">
        <v>0.16</v>
      </c>
      <c r="D105" s="48">
        <v>0.3</v>
      </c>
      <c r="E105" s="695"/>
      <c r="F105" s="728"/>
      <c r="G105" s="7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4" t="s">
        <v>3600</v>
      </c>
      <c r="S105" s="13"/>
      <c r="T105" s="724"/>
      <c r="U105" s="469"/>
    </row>
    <row r="106" spans="1:21" s="480" customFormat="1" ht="14.4" customHeight="1" x14ac:dyDescent="0.3">
      <c r="A106" s="748"/>
      <c r="B106" s="1180"/>
      <c r="C106" s="48">
        <v>0.3</v>
      </c>
      <c r="D106" s="48">
        <v>0.42</v>
      </c>
      <c r="E106" s="695"/>
      <c r="F106" s="728"/>
      <c r="G106" s="714"/>
      <c r="H106" s="9"/>
      <c r="I106" s="14"/>
      <c r="J106" s="14"/>
      <c r="K106" s="14"/>
      <c r="L106" s="14"/>
      <c r="M106" s="14"/>
      <c r="N106" s="14"/>
      <c r="O106" s="14"/>
      <c r="P106" s="13"/>
      <c r="Q106" s="13"/>
      <c r="R106" s="14" t="s">
        <v>3601</v>
      </c>
      <c r="S106" s="13"/>
      <c r="T106" s="724"/>
      <c r="U106" s="488"/>
    </row>
    <row r="107" spans="1:21" s="480" customFormat="1" ht="15" customHeight="1" thickBot="1" x14ac:dyDescent="0.35">
      <c r="A107" s="667"/>
      <c r="B107" s="1181"/>
      <c r="C107" s="46">
        <v>0.42</v>
      </c>
      <c r="D107" s="46">
        <v>0.59</v>
      </c>
      <c r="E107" s="696"/>
      <c r="F107" s="729"/>
      <c r="G107" s="663"/>
      <c r="H107" s="57"/>
      <c r="I107" s="20"/>
      <c r="J107" s="20"/>
      <c r="K107" s="20"/>
      <c r="L107" s="20"/>
      <c r="M107" s="20"/>
      <c r="N107" s="20"/>
      <c r="O107" s="20"/>
      <c r="P107" s="19"/>
      <c r="Q107" s="19"/>
      <c r="R107" s="20" t="s">
        <v>3602</v>
      </c>
      <c r="S107" s="19"/>
      <c r="T107" s="665"/>
      <c r="U107" s="488"/>
    </row>
    <row r="108" spans="1:21" s="480" customFormat="1" ht="13.8" x14ac:dyDescent="0.3">
      <c r="A108" s="666" t="s">
        <v>3603</v>
      </c>
      <c r="B108" s="651" t="s">
        <v>3604</v>
      </c>
      <c r="C108" s="43">
        <v>0</v>
      </c>
      <c r="D108" s="43">
        <v>0.12</v>
      </c>
      <c r="E108" s="694">
        <v>0.86</v>
      </c>
      <c r="F108" s="727">
        <v>3433</v>
      </c>
      <c r="G108" s="662" t="s">
        <v>32</v>
      </c>
      <c r="H108" s="89"/>
      <c r="I108" s="34"/>
      <c r="J108" s="34"/>
      <c r="K108" s="34"/>
      <c r="L108" s="34"/>
      <c r="M108" s="34"/>
      <c r="N108" s="34"/>
      <c r="O108" s="34"/>
      <c r="P108" s="34"/>
      <c r="Q108" s="34"/>
      <c r="R108" s="33" t="s">
        <v>3605</v>
      </c>
      <c r="S108" s="34"/>
      <c r="T108" s="664" t="s">
        <v>31</v>
      </c>
      <c r="U108" s="1123"/>
    </row>
    <row r="109" spans="1:21" s="480" customFormat="1" ht="15" customHeight="1" x14ac:dyDescent="0.3">
      <c r="A109" s="748"/>
      <c r="B109" s="711"/>
      <c r="C109" s="79">
        <v>0.12</v>
      </c>
      <c r="D109" s="48">
        <v>0.19</v>
      </c>
      <c r="E109" s="695"/>
      <c r="F109" s="728"/>
      <c r="G109" s="714"/>
      <c r="H109" s="92"/>
      <c r="I109" s="13"/>
      <c r="J109" s="13"/>
      <c r="K109" s="13"/>
      <c r="L109" s="13"/>
      <c r="M109" s="13"/>
      <c r="N109" s="13"/>
      <c r="O109" s="13"/>
      <c r="P109" s="13"/>
      <c r="Q109" s="13"/>
      <c r="R109" s="14" t="s">
        <v>3606</v>
      </c>
      <c r="S109" s="13"/>
      <c r="T109" s="724"/>
      <c r="U109" s="1123"/>
    </row>
    <row r="110" spans="1:21" s="480" customFormat="1" ht="15" customHeight="1" x14ac:dyDescent="0.3">
      <c r="A110" s="748"/>
      <c r="B110" s="711"/>
      <c r="C110" s="48">
        <v>0.19</v>
      </c>
      <c r="D110" s="48">
        <v>0.27</v>
      </c>
      <c r="E110" s="695"/>
      <c r="F110" s="728"/>
      <c r="G110" s="714"/>
      <c r="H110" s="92"/>
      <c r="I110" s="13"/>
      <c r="J110" s="13"/>
      <c r="K110" s="13"/>
      <c r="L110" s="13"/>
      <c r="M110" s="13"/>
      <c r="N110" s="13"/>
      <c r="O110" s="13"/>
      <c r="P110" s="13"/>
      <c r="Q110" s="13"/>
      <c r="R110" s="14">
        <v>70940060325</v>
      </c>
      <c r="S110" s="13"/>
      <c r="T110" s="724"/>
      <c r="U110" s="1123"/>
    </row>
    <row r="111" spans="1:21" s="480" customFormat="1" ht="15" customHeight="1" x14ac:dyDescent="0.3">
      <c r="A111" s="748"/>
      <c r="B111" s="711"/>
      <c r="C111" s="48">
        <v>0.27</v>
      </c>
      <c r="D111" s="48">
        <v>0.74</v>
      </c>
      <c r="E111" s="695"/>
      <c r="F111" s="728"/>
      <c r="G111" s="714"/>
      <c r="H111" s="92"/>
      <c r="I111" s="13"/>
      <c r="J111" s="13"/>
      <c r="K111" s="13"/>
      <c r="L111" s="13"/>
      <c r="M111" s="13"/>
      <c r="N111" s="13"/>
      <c r="O111" s="13"/>
      <c r="P111" s="13"/>
      <c r="Q111" s="13"/>
      <c r="R111" s="14" t="s">
        <v>3607</v>
      </c>
      <c r="S111" s="13"/>
      <c r="T111" s="724"/>
      <c r="U111" s="1123"/>
    </row>
    <row r="112" spans="1:21" s="480" customFormat="1" ht="15" customHeight="1" x14ac:dyDescent="0.3">
      <c r="A112" s="748"/>
      <c r="B112" s="711"/>
      <c r="C112" s="48">
        <v>0.74</v>
      </c>
      <c r="D112" s="48">
        <v>0.84</v>
      </c>
      <c r="E112" s="695"/>
      <c r="F112" s="728"/>
      <c r="G112" s="714"/>
      <c r="H112" s="92"/>
      <c r="I112" s="13"/>
      <c r="J112" s="13"/>
      <c r="K112" s="13"/>
      <c r="L112" s="13"/>
      <c r="M112" s="13"/>
      <c r="N112" s="13"/>
      <c r="O112" s="13"/>
      <c r="P112" s="13"/>
      <c r="Q112" s="13"/>
      <c r="R112" s="14" t="s">
        <v>3608</v>
      </c>
      <c r="S112" s="13"/>
      <c r="T112" s="724"/>
      <c r="U112" s="1123"/>
    </row>
    <row r="113" spans="1:25" s="480" customFormat="1" ht="15.75" customHeight="1" thickBot="1" x14ac:dyDescent="0.35">
      <c r="A113" s="667"/>
      <c r="B113" s="652"/>
      <c r="C113" s="46">
        <v>0.84</v>
      </c>
      <c r="D113" s="46">
        <v>0.86</v>
      </c>
      <c r="E113" s="696"/>
      <c r="F113" s="729"/>
      <c r="G113" s="663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20" t="s">
        <v>3609</v>
      </c>
      <c r="S113" s="19"/>
      <c r="T113" s="665"/>
      <c r="U113" s="1123"/>
    </row>
    <row r="114" spans="1:25" s="480" customFormat="1" ht="13.8" x14ac:dyDescent="0.3">
      <c r="A114" s="604" t="s">
        <v>3610</v>
      </c>
      <c r="B114" s="651" t="s">
        <v>3611</v>
      </c>
      <c r="C114" s="43">
        <v>0</v>
      </c>
      <c r="D114" s="43">
        <v>0.21</v>
      </c>
      <c r="E114" s="694">
        <v>0.51</v>
      </c>
      <c r="F114" s="658">
        <v>2038</v>
      </c>
      <c r="G114" s="662" t="s">
        <v>32</v>
      </c>
      <c r="H114" s="32"/>
      <c r="I114" s="34"/>
      <c r="J114" s="34"/>
      <c r="K114" s="34"/>
      <c r="L114" s="34"/>
      <c r="M114" s="34"/>
      <c r="N114" s="34"/>
      <c r="O114" s="34"/>
      <c r="P114" s="34"/>
      <c r="Q114" s="34"/>
      <c r="R114" s="33" t="s">
        <v>3612</v>
      </c>
      <c r="S114" s="34"/>
      <c r="T114" s="664" t="s">
        <v>31</v>
      </c>
      <c r="U114" s="469"/>
    </row>
    <row r="115" spans="1:25" s="480" customFormat="1" ht="15" customHeight="1" x14ac:dyDescent="0.3">
      <c r="A115" s="605"/>
      <c r="B115" s="711"/>
      <c r="C115" s="79">
        <v>0.21</v>
      </c>
      <c r="D115" s="48">
        <v>0.36</v>
      </c>
      <c r="E115" s="695"/>
      <c r="F115" s="726"/>
      <c r="G115" s="714"/>
      <c r="H115" s="489"/>
      <c r="I115" s="13"/>
      <c r="J115" s="13"/>
      <c r="K115" s="13"/>
      <c r="L115" s="13"/>
      <c r="M115" s="13"/>
      <c r="N115" s="13"/>
      <c r="O115" s="13"/>
      <c r="P115" s="13"/>
      <c r="Q115" s="13"/>
      <c r="R115" s="14">
        <v>70940070203</v>
      </c>
      <c r="S115" s="13"/>
      <c r="T115" s="724"/>
      <c r="U115" s="488"/>
    </row>
    <row r="116" spans="1:25" s="480" customFormat="1" ht="15.75" customHeight="1" thickBot="1" x14ac:dyDescent="0.35">
      <c r="A116" s="606"/>
      <c r="B116" s="652"/>
      <c r="C116" s="46">
        <v>0.36</v>
      </c>
      <c r="D116" s="46">
        <v>0.51</v>
      </c>
      <c r="E116" s="696"/>
      <c r="F116" s="659"/>
      <c r="G116" s="663"/>
      <c r="H116" s="18"/>
      <c r="I116" s="19"/>
      <c r="J116" s="19"/>
      <c r="K116" s="19"/>
      <c r="L116" s="19"/>
      <c r="M116" s="19"/>
      <c r="N116" s="19"/>
      <c r="O116" s="19"/>
      <c r="P116" s="19"/>
      <c r="Q116" s="19"/>
      <c r="R116" s="20" t="s">
        <v>3613</v>
      </c>
      <c r="S116" s="19"/>
      <c r="T116" s="665"/>
      <c r="U116" s="469"/>
    </row>
    <row r="117" spans="1:25" s="480" customFormat="1" ht="15" customHeight="1" x14ac:dyDescent="0.3">
      <c r="A117" s="666" t="s">
        <v>3614</v>
      </c>
      <c r="B117" s="651" t="s">
        <v>3615</v>
      </c>
      <c r="C117" s="43">
        <v>0</v>
      </c>
      <c r="D117" s="43">
        <v>0.39400000000000002</v>
      </c>
      <c r="E117" s="694">
        <v>0.57999999999999996</v>
      </c>
      <c r="F117" s="727">
        <v>2317</v>
      </c>
      <c r="G117" s="662" t="s">
        <v>32</v>
      </c>
      <c r="H117" s="89"/>
      <c r="I117" s="34"/>
      <c r="J117" s="34"/>
      <c r="K117" s="34"/>
      <c r="L117" s="34"/>
      <c r="M117" s="34"/>
      <c r="N117" s="34"/>
      <c r="O117" s="34"/>
      <c r="P117" s="34"/>
      <c r="Q117" s="34"/>
      <c r="R117" s="33" t="s">
        <v>3616</v>
      </c>
      <c r="S117" s="34"/>
      <c r="T117" s="664" t="s">
        <v>31</v>
      </c>
      <c r="U117" s="1178"/>
    </row>
    <row r="118" spans="1:25" s="480" customFormat="1" ht="15.75" customHeight="1" thickBot="1" x14ac:dyDescent="0.35">
      <c r="A118" s="667"/>
      <c r="B118" s="652"/>
      <c r="C118" s="68">
        <v>0.39400000000000002</v>
      </c>
      <c r="D118" s="46">
        <v>0.57899999999999996</v>
      </c>
      <c r="E118" s="696"/>
      <c r="F118" s="729"/>
      <c r="G118" s="663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20" t="s">
        <v>3617</v>
      </c>
      <c r="S118" s="19"/>
      <c r="T118" s="665"/>
      <c r="U118" s="1178"/>
    </row>
    <row r="119" spans="1:25" s="480" customFormat="1" ht="13.8" x14ac:dyDescent="0.3">
      <c r="A119" s="666" t="s">
        <v>3618</v>
      </c>
      <c r="B119" s="651" t="s">
        <v>3619</v>
      </c>
      <c r="C119" s="43">
        <v>0</v>
      </c>
      <c r="D119" s="43">
        <v>0.121</v>
      </c>
      <c r="E119" s="694">
        <v>0.36</v>
      </c>
      <c r="F119" s="727">
        <v>1441</v>
      </c>
      <c r="G119" s="662" t="s">
        <v>3555</v>
      </c>
      <c r="H119" s="486"/>
      <c r="I119" s="34"/>
      <c r="J119" s="34"/>
      <c r="K119" s="34"/>
      <c r="L119" s="34"/>
      <c r="M119" s="34"/>
      <c r="N119" s="34"/>
      <c r="O119" s="34"/>
      <c r="P119" s="34"/>
      <c r="Q119" s="34"/>
      <c r="R119" s="33" t="s">
        <v>3620</v>
      </c>
      <c r="S119" s="34"/>
      <c r="T119" s="664" t="s">
        <v>31</v>
      </c>
      <c r="U119" s="469"/>
      <c r="V119" s="488"/>
    </row>
    <row r="120" spans="1:25" s="480" customFormat="1" ht="15.75" customHeight="1" thickBot="1" x14ac:dyDescent="0.35">
      <c r="A120" s="667"/>
      <c r="B120" s="652"/>
      <c r="C120" s="68">
        <v>0.121</v>
      </c>
      <c r="D120" s="46">
        <v>0.36</v>
      </c>
      <c r="E120" s="696"/>
      <c r="F120" s="729"/>
      <c r="G120" s="663"/>
      <c r="H120" s="18"/>
      <c r="I120" s="19"/>
      <c r="J120" s="19"/>
      <c r="K120" s="19"/>
      <c r="L120" s="19"/>
      <c r="M120" s="19"/>
      <c r="N120" s="19"/>
      <c r="O120" s="19"/>
      <c r="P120" s="19"/>
      <c r="Q120" s="19"/>
      <c r="R120" s="20" t="s">
        <v>3621</v>
      </c>
      <c r="S120" s="19"/>
      <c r="T120" s="665"/>
      <c r="U120" s="469"/>
    </row>
    <row r="121" spans="1:25" s="480" customFormat="1" ht="13.8" x14ac:dyDescent="0.3">
      <c r="A121" s="666" t="s">
        <v>3622</v>
      </c>
      <c r="B121" s="651" t="s">
        <v>3623</v>
      </c>
      <c r="C121" s="43">
        <v>0</v>
      </c>
      <c r="D121" s="43">
        <v>8.7999999999999995E-2</v>
      </c>
      <c r="E121" s="694">
        <v>0.14099999999999999</v>
      </c>
      <c r="F121" s="727">
        <v>563</v>
      </c>
      <c r="G121" s="662" t="s">
        <v>3555</v>
      </c>
      <c r="H121" s="486"/>
      <c r="I121" s="34"/>
      <c r="J121" s="34"/>
      <c r="K121" s="34"/>
      <c r="L121" s="34"/>
      <c r="M121" s="34"/>
      <c r="N121" s="34"/>
      <c r="O121" s="34"/>
      <c r="P121" s="34"/>
      <c r="Q121" s="34"/>
      <c r="R121" s="33" t="s">
        <v>3624</v>
      </c>
      <c r="S121" s="34"/>
      <c r="T121" s="664" t="s">
        <v>31</v>
      </c>
      <c r="U121" s="1178"/>
    </row>
    <row r="122" spans="1:25" s="480" customFormat="1" ht="15.75" customHeight="1" thickBot="1" x14ac:dyDescent="0.35">
      <c r="A122" s="667"/>
      <c r="B122" s="652"/>
      <c r="C122" s="68">
        <v>8.7999999999999995E-2</v>
      </c>
      <c r="D122" s="46">
        <v>0.14099999999999999</v>
      </c>
      <c r="E122" s="696"/>
      <c r="F122" s="729"/>
      <c r="G122" s="663"/>
      <c r="H122" s="18"/>
      <c r="I122" s="19"/>
      <c r="J122" s="19"/>
      <c r="K122" s="19"/>
      <c r="L122" s="19"/>
      <c r="M122" s="19"/>
      <c r="N122" s="19"/>
      <c r="O122" s="19"/>
      <c r="P122" s="19"/>
      <c r="Q122" s="19"/>
      <c r="R122" s="20">
        <v>70940030301</v>
      </c>
      <c r="S122" s="19"/>
      <c r="T122" s="665"/>
      <c r="U122" s="1178"/>
    </row>
    <row r="123" spans="1:25" s="480" customFormat="1" ht="13.8" x14ac:dyDescent="0.3">
      <c r="A123" s="666" t="s">
        <v>3625</v>
      </c>
      <c r="B123" s="651" t="s">
        <v>3626</v>
      </c>
      <c r="C123" s="43">
        <v>0</v>
      </c>
      <c r="D123" s="43">
        <v>0.35399999999999998</v>
      </c>
      <c r="E123" s="694">
        <v>0.88</v>
      </c>
      <c r="F123" s="727">
        <v>3522</v>
      </c>
      <c r="G123" s="662" t="s">
        <v>3555</v>
      </c>
      <c r="H123" s="32"/>
      <c r="I123" s="34"/>
      <c r="J123" s="34"/>
      <c r="K123" s="34"/>
      <c r="L123" s="34"/>
      <c r="M123" s="34"/>
      <c r="N123" s="34"/>
      <c r="O123" s="34"/>
      <c r="P123" s="34"/>
      <c r="Q123" s="34"/>
      <c r="R123" s="33">
        <v>70940060361</v>
      </c>
      <c r="S123" s="34"/>
      <c r="T123" s="664" t="s">
        <v>31</v>
      </c>
      <c r="U123" s="1178"/>
    </row>
    <row r="124" spans="1:25" s="480" customFormat="1" ht="15.75" customHeight="1" thickBot="1" x14ac:dyDescent="0.35">
      <c r="A124" s="667"/>
      <c r="B124" s="652"/>
      <c r="C124" s="68">
        <v>0.35399999999999998</v>
      </c>
      <c r="D124" s="46">
        <v>0.88</v>
      </c>
      <c r="E124" s="696"/>
      <c r="F124" s="729"/>
      <c r="G124" s="663"/>
      <c r="H124" s="394"/>
      <c r="I124" s="19"/>
      <c r="J124" s="19"/>
      <c r="K124" s="19"/>
      <c r="L124" s="19"/>
      <c r="M124" s="19"/>
      <c r="N124" s="19"/>
      <c r="O124" s="19"/>
      <c r="P124" s="19"/>
      <c r="Q124" s="19"/>
      <c r="R124" s="20" t="s">
        <v>3627</v>
      </c>
      <c r="S124" s="19"/>
      <c r="T124" s="665"/>
      <c r="U124" s="1178"/>
    </row>
    <row r="125" spans="1:25" s="480" customFormat="1" ht="24.6" thickBot="1" x14ac:dyDescent="0.35">
      <c r="A125" s="22" t="s">
        <v>3628</v>
      </c>
      <c r="B125" s="23" t="s">
        <v>3629</v>
      </c>
      <c r="C125" s="41">
        <v>0</v>
      </c>
      <c r="D125" s="41">
        <v>0.26</v>
      </c>
      <c r="E125" s="41">
        <v>0.26</v>
      </c>
      <c r="F125" s="27">
        <v>1041</v>
      </c>
      <c r="G125" s="3" t="s">
        <v>32</v>
      </c>
      <c r="H125" s="26"/>
      <c r="I125" s="27"/>
      <c r="J125" s="27"/>
      <c r="K125" s="27"/>
      <c r="L125" s="27"/>
      <c r="M125" s="27"/>
      <c r="N125" s="27"/>
      <c r="O125" s="27"/>
      <c r="P125" s="27"/>
      <c r="Q125" s="27"/>
      <c r="R125" s="3">
        <v>70940030303</v>
      </c>
      <c r="S125" s="27"/>
      <c r="T125" s="5" t="s">
        <v>31</v>
      </c>
      <c r="U125" s="469"/>
    </row>
    <row r="126" spans="1:25" s="480" customFormat="1" ht="24.6" thickBot="1" x14ac:dyDescent="0.35">
      <c r="A126" s="22" t="s">
        <v>3630</v>
      </c>
      <c r="B126" s="23" t="s">
        <v>3631</v>
      </c>
      <c r="C126" s="41">
        <v>0</v>
      </c>
      <c r="D126" s="41">
        <v>0.24</v>
      </c>
      <c r="E126" s="41">
        <v>0.24</v>
      </c>
      <c r="F126" s="3">
        <v>963</v>
      </c>
      <c r="G126" s="3" t="s">
        <v>32</v>
      </c>
      <c r="H126" s="26"/>
      <c r="I126" s="27"/>
      <c r="J126" s="27"/>
      <c r="K126" s="27"/>
      <c r="L126" s="27"/>
      <c r="M126" s="27"/>
      <c r="N126" s="27"/>
      <c r="O126" s="27"/>
      <c r="P126" s="27"/>
      <c r="Q126" s="27"/>
      <c r="R126" s="3">
        <v>70940060326</v>
      </c>
      <c r="S126" s="27" t="s">
        <v>3632</v>
      </c>
      <c r="T126" s="5" t="s">
        <v>31</v>
      </c>
      <c r="U126" s="464"/>
      <c r="Y126" s="488"/>
    </row>
    <row r="127" spans="1:25" s="480" customFormat="1" ht="24" customHeight="1" x14ac:dyDescent="0.3">
      <c r="A127" s="666" t="s">
        <v>3633</v>
      </c>
      <c r="B127" s="651" t="s">
        <v>2959</v>
      </c>
      <c r="C127" s="43">
        <v>0</v>
      </c>
      <c r="D127" s="43">
        <v>0.245</v>
      </c>
      <c r="E127" s="694">
        <v>0.41699999999999998</v>
      </c>
      <c r="F127" s="662">
        <v>1665</v>
      </c>
      <c r="G127" s="662" t="s">
        <v>32</v>
      </c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3">
        <v>70940060327</v>
      </c>
      <c r="S127" s="727" t="s">
        <v>3632</v>
      </c>
      <c r="T127" s="664" t="s">
        <v>31</v>
      </c>
      <c r="U127" s="469"/>
    </row>
    <row r="128" spans="1:25" s="480" customFormat="1" ht="24" customHeight="1" thickBot="1" x14ac:dyDescent="0.35">
      <c r="A128" s="667"/>
      <c r="B128" s="652"/>
      <c r="C128" s="68">
        <v>0.245</v>
      </c>
      <c r="D128" s="68">
        <v>0.41699999999999998</v>
      </c>
      <c r="E128" s="696"/>
      <c r="F128" s="663"/>
      <c r="G128" s="663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57">
        <v>70940060357</v>
      </c>
      <c r="S128" s="729"/>
      <c r="T128" s="665"/>
      <c r="U128" s="469"/>
    </row>
    <row r="129" spans="1:32" s="480" customFormat="1" ht="24.6" thickBot="1" x14ac:dyDescent="0.35">
      <c r="A129" s="22" t="s">
        <v>3634</v>
      </c>
      <c r="B129" s="23" t="s">
        <v>3635</v>
      </c>
      <c r="C129" s="41">
        <v>0</v>
      </c>
      <c r="D129" s="41">
        <v>0.97399999999999998</v>
      </c>
      <c r="E129" s="41">
        <v>0.97399999999999998</v>
      </c>
      <c r="F129" s="3">
        <v>3897</v>
      </c>
      <c r="G129" s="3" t="s">
        <v>32</v>
      </c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3">
        <v>70940060328</v>
      </c>
      <c r="S129" s="27" t="s">
        <v>3632</v>
      </c>
      <c r="T129" s="5" t="s">
        <v>31</v>
      </c>
      <c r="U129" s="469"/>
    </row>
    <row r="130" spans="1:32" s="480" customFormat="1" ht="24.6" thickBot="1" x14ac:dyDescent="0.35">
      <c r="A130" s="22" t="s">
        <v>3636</v>
      </c>
      <c r="B130" s="23" t="s">
        <v>3637</v>
      </c>
      <c r="C130" s="41">
        <v>0</v>
      </c>
      <c r="D130" s="41">
        <v>0.19600000000000001</v>
      </c>
      <c r="E130" s="41">
        <v>0.19600000000000001</v>
      </c>
      <c r="F130" s="3">
        <v>785</v>
      </c>
      <c r="G130" s="3" t="s">
        <v>3492</v>
      </c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3">
        <v>70940040316</v>
      </c>
      <c r="S130" s="27" t="s">
        <v>3638</v>
      </c>
      <c r="T130" s="5" t="s">
        <v>31</v>
      </c>
      <c r="U130" s="469"/>
    </row>
    <row r="131" spans="1:32" s="468" customFormat="1" ht="24.6" thickBot="1" x14ac:dyDescent="0.35">
      <c r="A131" s="22" t="s">
        <v>3639</v>
      </c>
      <c r="B131" s="23" t="s">
        <v>3640</v>
      </c>
      <c r="C131" s="41">
        <v>0</v>
      </c>
      <c r="D131" s="41">
        <v>0.46100000000000002</v>
      </c>
      <c r="E131" s="41">
        <v>0.46100000000000002</v>
      </c>
      <c r="F131" s="3">
        <v>1845</v>
      </c>
      <c r="G131" s="3" t="s">
        <v>3492</v>
      </c>
      <c r="H131" s="3"/>
      <c r="I131" s="3"/>
      <c r="J131" s="3"/>
      <c r="K131" s="27"/>
      <c r="L131" s="27"/>
      <c r="M131" s="27"/>
      <c r="N131" s="27"/>
      <c r="O131" s="27"/>
      <c r="P131" s="27"/>
      <c r="Q131" s="27"/>
      <c r="R131" s="3">
        <v>70940040317</v>
      </c>
      <c r="S131" s="27" t="s">
        <v>3638</v>
      </c>
      <c r="T131" s="5" t="s">
        <v>31</v>
      </c>
      <c r="U131" s="469"/>
    </row>
    <row r="132" spans="1:32" s="480" customFormat="1" ht="24.6" thickBot="1" x14ac:dyDescent="0.35">
      <c r="A132" s="22" t="s">
        <v>3641</v>
      </c>
      <c r="B132" s="23" t="s">
        <v>2509</v>
      </c>
      <c r="C132" s="41">
        <v>0</v>
      </c>
      <c r="D132" s="41">
        <v>0.224</v>
      </c>
      <c r="E132" s="41">
        <v>0.224</v>
      </c>
      <c r="F132" s="3">
        <v>898</v>
      </c>
      <c r="G132" s="3" t="s">
        <v>3492</v>
      </c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3">
        <v>70940040318</v>
      </c>
      <c r="S132" s="27" t="s">
        <v>3638</v>
      </c>
      <c r="T132" s="5" t="s">
        <v>31</v>
      </c>
      <c r="U132" s="469"/>
    </row>
    <row r="133" spans="1:32" s="480" customFormat="1" ht="24.6" thickBot="1" x14ac:dyDescent="0.35">
      <c r="A133" s="490" t="s">
        <v>3642</v>
      </c>
      <c r="B133" s="491" t="s">
        <v>3643</v>
      </c>
      <c r="C133" s="41">
        <v>0</v>
      </c>
      <c r="D133" s="41">
        <v>0.60799999999999998</v>
      </c>
      <c r="E133" s="41">
        <v>0.60799999999999998</v>
      </c>
      <c r="F133" s="4">
        <v>2432</v>
      </c>
      <c r="G133" s="39" t="s">
        <v>3492</v>
      </c>
      <c r="H133" s="3"/>
      <c r="I133" s="27"/>
      <c r="J133" s="27"/>
      <c r="K133" s="27"/>
      <c r="L133" s="27"/>
      <c r="M133" s="27"/>
      <c r="N133" s="27"/>
      <c r="O133" s="27"/>
      <c r="P133" s="27"/>
      <c r="Q133" s="27"/>
      <c r="R133" s="3">
        <v>70940040319</v>
      </c>
      <c r="S133" s="27" t="s">
        <v>3638</v>
      </c>
      <c r="T133" s="5" t="s">
        <v>31</v>
      </c>
      <c r="U133" s="469"/>
    </row>
    <row r="134" spans="1:32" s="480" customFormat="1" ht="24.6" thickBot="1" x14ac:dyDescent="0.35">
      <c r="A134" s="490" t="s">
        <v>3644</v>
      </c>
      <c r="B134" s="491" t="s">
        <v>3645</v>
      </c>
      <c r="C134" s="41">
        <v>0</v>
      </c>
      <c r="D134" s="41">
        <v>0.42699999999999999</v>
      </c>
      <c r="E134" s="41">
        <v>0.42699999999999999</v>
      </c>
      <c r="F134" s="4">
        <v>2561</v>
      </c>
      <c r="G134" s="39" t="s">
        <v>3492</v>
      </c>
      <c r="H134" s="3"/>
      <c r="I134" s="27"/>
      <c r="J134" s="27"/>
      <c r="K134" s="27"/>
      <c r="L134" s="27"/>
      <c r="M134" s="27"/>
      <c r="N134" s="27"/>
      <c r="O134" s="27"/>
      <c r="P134" s="27"/>
      <c r="Q134" s="27"/>
      <c r="R134" s="3">
        <v>70940040320</v>
      </c>
      <c r="S134" s="27" t="s">
        <v>3638</v>
      </c>
      <c r="T134" s="5" t="s">
        <v>31</v>
      </c>
      <c r="U134" s="469"/>
    </row>
    <row r="135" spans="1:32" s="59" customFormat="1" ht="13.8" x14ac:dyDescent="0.25">
      <c r="I135" s="389"/>
      <c r="R135" s="312"/>
      <c r="T135" s="60"/>
      <c r="U135" s="462"/>
    </row>
    <row r="136" spans="1:32" s="59" customFormat="1" ht="36" x14ac:dyDescent="0.25">
      <c r="B136" s="61" t="s">
        <v>202</v>
      </c>
      <c r="I136" s="389"/>
      <c r="R136" s="312"/>
      <c r="T136" s="60"/>
      <c r="U136" s="462"/>
    </row>
    <row r="137" spans="1:32" s="59" customFormat="1" ht="24" x14ac:dyDescent="0.25">
      <c r="B137" s="61" t="s">
        <v>203</v>
      </c>
      <c r="I137" s="389"/>
      <c r="R137" s="312"/>
      <c r="T137" s="60"/>
      <c r="U137" s="462"/>
    </row>
    <row r="138" spans="1:32" s="59" customFormat="1" ht="24" x14ac:dyDescent="0.25">
      <c r="B138" s="61" t="s">
        <v>204</v>
      </c>
      <c r="I138" s="389"/>
      <c r="R138" s="312"/>
      <c r="T138" s="60"/>
      <c r="U138" s="462"/>
    </row>
    <row r="139" spans="1:32" s="59" customFormat="1" ht="24" x14ac:dyDescent="0.25">
      <c r="B139" s="61" t="s">
        <v>205</v>
      </c>
      <c r="I139" s="389"/>
      <c r="R139" s="312"/>
      <c r="T139" s="60"/>
    </row>
    <row r="140" spans="1:32" s="59" customFormat="1" ht="13.8" x14ac:dyDescent="0.25">
      <c r="R140" s="312"/>
      <c r="T140" s="60"/>
    </row>
    <row r="141" spans="1:32" s="59" customFormat="1" ht="27.6" customHeight="1" x14ac:dyDescent="0.25">
      <c r="A141" s="509"/>
      <c r="B141" s="509"/>
      <c r="C141" s="512" t="s">
        <v>3985</v>
      </c>
      <c r="D141" s="543" t="s">
        <v>3986</v>
      </c>
      <c r="E141" s="543"/>
      <c r="F141" s="543"/>
      <c r="G141" s="509"/>
      <c r="H141" s="509"/>
      <c r="I141" s="509"/>
      <c r="J141" s="509"/>
      <c r="K141" s="509"/>
      <c r="L141" s="509"/>
      <c r="M141" s="509"/>
      <c r="N141" s="509"/>
      <c r="O141" s="509"/>
      <c r="P141" s="509"/>
      <c r="Q141" s="509"/>
      <c r="R141" s="509"/>
      <c r="S141" s="509"/>
      <c r="T141" s="509"/>
      <c r="U141" s="509"/>
      <c r="V141" s="509"/>
      <c r="W141" s="509"/>
      <c r="X141" s="509"/>
      <c r="Y141" s="509"/>
      <c r="Z141" s="509"/>
      <c r="AA141" s="509"/>
      <c r="AB141" s="509"/>
      <c r="AC141" s="509"/>
      <c r="AD141" s="509"/>
      <c r="AE141" s="510"/>
      <c r="AF141" s="510"/>
    </row>
    <row r="142" spans="1:32" s="59" customFormat="1" ht="13.8" x14ac:dyDescent="0.25">
      <c r="A142" s="509"/>
      <c r="B142" s="509"/>
      <c r="C142" s="509"/>
      <c r="D142" s="509"/>
      <c r="E142" s="509"/>
      <c r="F142" s="509"/>
      <c r="G142" s="509"/>
      <c r="H142" s="509"/>
      <c r="I142" s="509"/>
      <c r="J142" s="509"/>
      <c r="K142" s="509"/>
      <c r="L142" s="509"/>
      <c r="M142" s="509"/>
      <c r="N142" s="509"/>
      <c r="O142" s="509"/>
      <c r="P142" s="509"/>
      <c r="Q142" s="509"/>
      <c r="R142" s="509"/>
      <c r="S142" s="509"/>
      <c r="T142" s="509"/>
      <c r="U142" s="509"/>
      <c r="V142" s="509"/>
      <c r="W142" s="509"/>
      <c r="X142" s="509"/>
      <c r="Y142" s="509"/>
      <c r="Z142" s="509"/>
      <c r="AA142" s="509"/>
      <c r="AB142" s="509"/>
      <c r="AC142" s="509"/>
      <c r="AD142" s="509"/>
      <c r="AE142" s="510"/>
      <c r="AF142" s="510"/>
    </row>
    <row r="143" spans="1:32" s="59" customFormat="1" ht="13.8" x14ac:dyDescent="0.25">
      <c r="A143" s="509"/>
      <c r="B143" s="509"/>
      <c r="C143" s="509"/>
      <c r="D143" s="509"/>
      <c r="E143" s="509"/>
      <c r="F143" s="509"/>
      <c r="G143" s="509"/>
      <c r="H143" s="509"/>
      <c r="I143" s="509"/>
      <c r="J143" s="509"/>
      <c r="K143" s="509"/>
      <c r="L143" s="509"/>
      <c r="M143" s="509"/>
      <c r="N143" s="509"/>
      <c r="O143" s="509"/>
      <c r="P143" s="509"/>
      <c r="Q143" s="509"/>
      <c r="R143" s="509"/>
      <c r="S143" s="509"/>
      <c r="T143" s="509"/>
      <c r="U143" s="509"/>
      <c r="V143" s="509"/>
      <c r="W143" s="509"/>
      <c r="X143" s="509"/>
      <c r="Y143" s="509"/>
      <c r="Z143" s="509"/>
      <c r="AA143" s="509"/>
      <c r="AB143" s="509"/>
      <c r="AC143" s="509"/>
      <c r="AD143" s="509"/>
      <c r="AE143" s="417"/>
      <c r="AF143" s="510"/>
    </row>
    <row r="144" spans="1:32" s="59" customFormat="1" ht="13.8" x14ac:dyDescent="0.25">
      <c r="B144" s="60"/>
      <c r="C144" s="438" t="s">
        <v>3989</v>
      </c>
      <c r="D144" s="544" t="s">
        <v>3990</v>
      </c>
      <c r="E144" s="544"/>
      <c r="F144" s="544"/>
      <c r="G144" s="544"/>
      <c r="H144" s="544"/>
      <c r="I144" s="544"/>
      <c r="T144" s="60"/>
      <c r="U144" s="60"/>
    </row>
    <row r="145" spans="1:21" s="59" customFormat="1" ht="13.95" customHeight="1" x14ac:dyDescent="0.25">
      <c r="B145" s="60"/>
      <c r="C145" s="438" t="s">
        <v>3987</v>
      </c>
      <c r="D145" s="553" t="s">
        <v>3988</v>
      </c>
      <c r="E145" s="553"/>
      <c r="F145" s="553"/>
      <c r="G145" s="553"/>
      <c r="H145" s="553"/>
      <c r="I145" s="553"/>
      <c r="T145" s="60"/>
      <c r="U145" s="60"/>
    </row>
    <row r="146" spans="1:21" s="59" customFormat="1" ht="14.4" customHeight="1" x14ac:dyDescent="0.25">
      <c r="T146" s="60"/>
      <c r="U146" s="60"/>
    </row>
    <row r="147" spans="1:21" s="59" customFormat="1" ht="13.8" x14ac:dyDescent="0.25">
      <c r="A147" s="469"/>
      <c r="B147" s="743" t="s">
        <v>3984</v>
      </c>
      <c r="C147" s="743"/>
      <c r="D147" s="743"/>
      <c r="E147" s="743"/>
      <c r="F147" s="743"/>
      <c r="G147" s="743"/>
      <c r="H147" s="743"/>
      <c r="I147" s="743"/>
      <c r="T147" s="304"/>
      <c r="U147" s="304"/>
    </row>
  </sheetData>
  <mergeCells count="248">
    <mergeCell ref="T127:T128"/>
    <mergeCell ref="A127:A128"/>
    <mergeCell ref="B127:B128"/>
    <mergeCell ref="E127:E128"/>
    <mergeCell ref="F127:F128"/>
    <mergeCell ref="G127:G128"/>
    <mergeCell ref="S127:S128"/>
    <mergeCell ref="U121:U122"/>
    <mergeCell ref="A123:A124"/>
    <mergeCell ref="B123:B124"/>
    <mergeCell ref="E123:E124"/>
    <mergeCell ref="F123:F124"/>
    <mergeCell ref="G123:G124"/>
    <mergeCell ref="T123:T124"/>
    <mergeCell ref="U123:U124"/>
    <mergeCell ref="A121:A122"/>
    <mergeCell ref="B121:B122"/>
    <mergeCell ref="E121:E122"/>
    <mergeCell ref="F121:F122"/>
    <mergeCell ref="G121:G122"/>
    <mergeCell ref="T121:T122"/>
    <mergeCell ref="U117:U118"/>
    <mergeCell ref="A119:A120"/>
    <mergeCell ref="B119:B120"/>
    <mergeCell ref="E119:E120"/>
    <mergeCell ref="F119:F120"/>
    <mergeCell ref="G119:G120"/>
    <mergeCell ref="T119:T120"/>
    <mergeCell ref="A117:A118"/>
    <mergeCell ref="B117:B118"/>
    <mergeCell ref="E117:E118"/>
    <mergeCell ref="F117:F118"/>
    <mergeCell ref="G117:G118"/>
    <mergeCell ref="T117:T118"/>
    <mergeCell ref="U108:U113"/>
    <mergeCell ref="A114:A116"/>
    <mergeCell ref="B114:B116"/>
    <mergeCell ref="E114:E116"/>
    <mergeCell ref="F114:F116"/>
    <mergeCell ref="G114:G116"/>
    <mergeCell ref="T114:T116"/>
    <mergeCell ref="A108:A113"/>
    <mergeCell ref="B108:B113"/>
    <mergeCell ref="E108:E113"/>
    <mergeCell ref="F108:F113"/>
    <mergeCell ref="G108:G113"/>
    <mergeCell ref="T108:T113"/>
    <mergeCell ref="A104:A107"/>
    <mergeCell ref="B104:B107"/>
    <mergeCell ref="E104:E107"/>
    <mergeCell ref="F104:F107"/>
    <mergeCell ref="G104:G107"/>
    <mergeCell ref="T104:T107"/>
    <mergeCell ref="A99:A103"/>
    <mergeCell ref="B99:B103"/>
    <mergeCell ref="E99:E103"/>
    <mergeCell ref="F99:F103"/>
    <mergeCell ref="G99:G103"/>
    <mergeCell ref="T99:T103"/>
    <mergeCell ref="A95:A98"/>
    <mergeCell ref="B95:B98"/>
    <mergeCell ref="E95:E98"/>
    <mergeCell ref="F95:F98"/>
    <mergeCell ref="G95:G98"/>
    <mergeCell ref="T95:T98"/>
    <mergeCell ref="U87:U88"/>
    <mergeCell ref="A92:A94"/>
    <mergeCell ref="B92:B94"/>
    <mergeCell ref="E92:E94"/>
    <mergeCell ref="F92:F94"/>
    <mergeCell ref="G92:G94"/>
    <mergeCell ref="T92:T94"/>
    <mergeCell ref="A87:A88"/>
    <mergeCell ref="B87:B88"/>
    <mergeCell ref="E87:E88"/>
    <mergeCell ref="F87:F88"/>
    <mergeCell ref="G87:G88"/>
    <mergeCell ref="T87:T88"/>
    <mergeCell ref="A83:A85"/>
    <mergeCell ref="B83:B85"/>
    <mergeCell ref="E83:E85"/>
    <mergeCell ref="F83:F85"/>
    <mergeCell ref="G83:G85"/>
    <mergeCell ref="T83:T85"/>
    <mergeCell ref="T75:T77"/>
    <mergeCell ref="U75:U76"/>
    <mergeCell ref="A79:A82"/>
    <mergeCell ref="B79:B82"/>
    <mergeCell ref="E79:E82"/>
    <mergeCell ref="F79:F82"/>
    <mergeCell ref="G79:G82"/>
    <mergeCell ref="T79:T82"/>
    <mergeCell ref="U79:U82"/>
    <mergeCell ref="U71:U72"/>
    <mergeCell ref="A73:A74"/>
    <mergeCell ref="B73:B74"/>
    <mergeCell ref="E73:E74"/>
    <mergeCell ref="T73:T74"/>
    <mergeCell ref="A75:A77"/>
    <mergeCell ref="B75:B77"/>
    <mergeCell ref="E75:E77"/>
    <mergeCell ref="F75:F77"/>
    <mergeCell ref="G75:G77"/>
    <mergeCell ref="A71:A72"/>
    <mergeCell ref="B71:B72"/>
    <mergeCell ref="E71:E72"/>
    <mergeCell ref="F71:F72"/>
    <mergeCell ref="G71:G72"/>
    <mergeCell ref="T71:T72"/>
    <mergeCell ref="A67:A69"/>
    <mergeCell ref="B67:B69"/>
    <mergeCell ref="E67:E69"/>
    <mergeCell ref="F67:F69"/>
    <mergeCell ref="G67:G69"/>
    <mergeCell ref="T67:T69"/>
    <mergeCell ref="A65:A66"/>
    <mergeCell ref="B65:B66"/>
    <mergeCell ref="E65:E66"/>
    <mergeCell ref="F65:F66"/>
    <mergeCell ref="G65:G66"/>
    <mergeCell ref="T65:T66"/>
    <mergeCell ref="U58:U59"/>
    <mergeCell ref="A60:A63"/>
    <mergeCell ref="B60:B63"/>
    <mergeCell ref="E60:E63"/>
    <mergeCell ref="F60:F63"/>
    <mergeCell ref="G60:G63"/>
    <mergeCell ref="T60:T63"/>
    <mergeCell ref="A58:A59"/>
    <mergeCell ref="B58:B59"/>
    <mergeCell ref="E58:E59"/>
    <mergeCell ref="F58:F59"/>
    <mergeCell ref="G58:G59"/>
    <mergeCell ref="T58:T59"/>
    <mergeCell ref="A52:A57"/>
    <mergeCell ref="B52:B57"/>
    <mergeCell ref="E52:E57"/>
    <mergeCell ref="F52:F57"/>
    <mergeCell ref="G52:G57"/>
    <mergeCell ref="T52:T57"/>
    <mergeCell ref="A48:A51"/>
    <mergeCell ref="B48:B51"/>
    <mergeCell ref="E48:E51"/>
    <mergeCell ref="F48:F51"/>
    <mergeCell ref="G48:G51"/>
    <mergeCell ref="T48:T51"/>
    <mergeCell ref="A43:A47"/>
    <mergeCell ref="B43:B47"/>
    <mergeCell ref="E43:E47"/>
    <mergeCell ref="F43:F47"/>
    <mergeCell ref="G43:G47"/>
    <mergeCell ref="T43:T47"/>
    <mergeCell ref="A40:A42"/>
    <mergeCell ref="B40:B42"/>
    <mergeCell ref="E40:E42"/>
    <mergeCell ref="F40:F42"/>
    <mergeCell ref="G40:G42"/>
    <mergeCell ref="T40:T42"/>
    <mergeCell ref="A38:A39"/>
    <mergeCell ref="B38:B39"/>
    <mergeCell ref="E38:E39"/>
    <mergeCell ref="F38:F39"/>
    <mergeCell ref="G38:G39"/>
    <mergeCell ref="T38:T39"/>
    <mergeCell ref="A35:A37"/>
    <mergeCell ref="B35:B37"/>
    <mergeCell ref="E35:E37"/>
    <mergeCell ref="F35:F37"/>
    <mergeCell ref="G35:G36"/>
    <mergeCell ref="T35:T37"/>
    <mergeCell ref="A29:A31"/>
    <mergeCell ref="B29:B31"/>
    <mergeCell ref="E29:E31"/>
    <mergeCell ref="F29:F31"/>
    <mergeCell ref="G29:G31"/>
    <mergeCell ref="T29:T31"/>
    <mergeCell ref="A27:A28"/>
    <mergeCell ref="B27:B28"/>
    <mergeCell ref="E27:E28"/>
    <mergeCell ref="F27:F28"/>
    <mergeCell ref="G27:G28"/>
    <mergeCell ref="T27:T28"/>
    <mergeCell ref="A24:A26"/>
    <mergeCell ref="B24:B26"/>
    <mergeCell ref="E24:E26"/>
    <mergeCell ref="F24:F26"/>
    <mergeCell ref="G24:G26"/>
    <mergeCell ref="T24:T26"/>
    <mergeCell ref="U18:U19"/>
    <mergeCell ref="A20:A23"/>
    <mergeCell ref="B20:B23"/>
    <mergeCell ref="E20:E23"/>
    <mergeCell ref="F20:F23"/>
    <mergeCell ref="G20:G23"/>
    <mergeCell ref="T20:T23"/>
    <mergeCell ref="A16:A17"/>
    <mergeCell ref="B16:B17"/>
    <mergeCell ref="E16:E17"/>
    <mergeCell ref="T16:T17"/>
    <mergeCell ref="A18:A19"/>
    <mergeCell ref="B18:B19"/>
    <mergeCell ref="E18:E19"/>
    <mergeCell ref="F18:F19"/>
    <mergeCell ref="G18:G19"/>
    <mergeCell ref="T18:T19"/>
    <mergeCell ref="T8:T9"/>
    <mergeCell ref="A10:A11"/>
    <mergeCell ref="B10:B11"/>
    <mergeCell ref="E10:E11"/>
    <mergeCell ref="T10:T11"/>
    <mergeCell ref="A13:A14"/>
    <mergeCell ref="B13:B14"/>
    <mergeCell ref="E13:E14"/>
    <mergeCell ref="T13:T14"/>
    <mergeCell ref="N4:N5"/>
    <mergeCell ref="O4:O5"/>
    <mergeCell ref="P4:P5"/>
    <mergeCell ref="Q4:Q5"/>
    <mergeCell ref="R4:R5"/>
    <mergeCell ref="A8:A9"/>
    <mergeCell ref="B8:B9"/>
    <mergeCell ref="E8:E9"/>
    <mergeCell ref="F8:F9"/>
    <mergeCell ref="G8:G9"/>
    <mergeCell ref="D141:F141"/>
    <mergeCell ref="D144:I144"/>
    <mergeCell ref="D145:I145"/>
    <mergeCell ref="B147:I147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76A91-D784-4FCE-A237-446D2D9DD784}">
  <dimension ref="A1:AF83"/>
  <sheetViews>
    <sheetView workbookViewId="0">
      <selection activeCell="V9" sqref="V9"/>
    </sheetView>
  </sheetViews>
  <sheetFormatPr defaultRowHeight="14.4" x14ac:dyDescent="0.3"/>
  <cols>
    <col min="1" max="1" width="15.5546875" bestFit="1" customWidth="1"/>
    <col min="2" max="2" width="30.109375" customWidth="1"/>
    <col min="3" max="3" width="11.6640625" customWidth="1"/>
    <col min="6" max="6" width="10" customWidth="1"/>
    <col min="9" max="9" width="23.44140625" customWidth="1"/>
    <col min="10" max="10" width="12" customWidth="1"/>
    <col min="12" max="12" width="11" customWidth="1"/>
    <col min="13" max="13" width="16.109375" style="388" customWidth="1"/>
    <col min="14" max="14" width="14.33203125" customWidth="1"/>
    <col min="15" max="15" width="13.88671875" customWidth="1"/>
    <col min="18" max="18" width="27.88671875" bestFit="1" customWidth="1"/>
    <col min="19" max="19" width="20.33203125" customWidth="1"/>
    <col min="20" max="20" width="48.6640625" style="388" customWidth="1"/>
  </cols>
  <sheetData>
    <row r="1" spans="1:21" ht="18" thickBot="1" x14ac:dyDescent="0.35">
      <c r="A1" s="1107" t="s">
        <v>3994</v>
      </c>
      <c r="B1" s="1107"/>
      <c r="C1" s="1107"/>
      <c r="D1" s="1107"/>
      <c r="E1" s="1107"/>
      <c r="F1" s="1107"/>
      <c r="G1" s="1107"/>
      <c r="H1" s="1107"/>
      <c r="I1" s="1107"/>
      <c r="J1" s="1107"/>
      <c r="K1" s="1107"/>
      <c r="L1" s="1107"/>
      <c r="M1" s="1107"/>
      <c r="N1" s="1107"/>
      <c r="O1" s="1107"/>
      <c r="P1" s="1107"/>
      <c r="Q1" s="1107"/>
      <c r="R1" s="1107"/>
      <c r="S1" s="1107"/>
      <c r="T1" s="1107"/>
      <c r="U1" s="1108"/>
    </row>
    <row r="2" spans="1:21" ht="15" thickBot="1" x14ac:dyDescent="0.35">
      <c r="A2" s="1013" t="s">
        <v>1</v>
      </c>
      <c r="B2" s="1015" t="s">
        <v>2</v>
      </c>
      <c r="C2" s="1017" t="s">
        <v>3</v>
      </c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9"/>
      <c r="R2" s="1021" t="s">
        <v>4</v>
      </c>
      <c r="S2" s="1110" t="s">
        <v>5</v>
      </c>
      <c r="T2" s="1113" t="s">
        <v>207</v>
      </c>
      <c r="U2" s="1113" t="s">
        <v>887</v>
      </c>
    </row>
    <row r="3" spans="1:21" ht="34.950000000000003" customHeight="1" thickBot="1" x14ac:dyDescent="0.35">
      <c r="A3" s="1014"/>
      <c r="B3" s="1016"/>
      <c r="C3" s="1027" t="s">
        <v>8</v>
      </c>
      <c r="D3" s="1028"/>
      <c r="E3" s="1028"/>
      <c r="F3" s="1028"/>
      <c r="G3" s="1029"/>
      <c r="H3" s="1027" t="s">
        <v>9</v>
      </c>
      <c r="I3" s="1028"/>
      <c r="J3" s="1028"/>
      <c r="K3" s="1028"/>
      <c r="L3" s="1028"/>
      <c r="M3" s="1028"/>
      <c r="N3" s="1028"/>
      <c r="O3" s="1029"/>
      <c r="P3" s="1027" t="s">
        <v>10</v>
      </c>
      <c r="Q3" s="1029"/>
      <c r="R3" s="1109"/>
      <c r="S3" s="1111"/>
      <c r="T3" s="1114"/>
      <c r="U3" s="1114"/>
    </row>
    <row r="4" spans="1:21" ht="29.4" customHeight="1" thickBot="1" x14ac:dyDescent="0.35">
      <c r="A4" s="1014"/>
      <c r="B4" s="1016"/>
      <c r="C4" s="1027" t="s">
        <v>11</v>
      </c>
      <c r="D4" s="1029"/>
      <c r="E4" s="1116" t="s">
        <v>12</v>
      </c>
      <c r="F4" s="1030" t="s">
        <v>13</v>
      </c>
      <c r="G4" s="1030" t="s">
        <v>14</v>
      </c>
      <c r="H4" s="1030" t="s">
        <v>15</v>
      </c>
      <c r="I4" s="1027" t="s">
        <v>16</v>
      </c>
      <c r="J4" s="1029"/>
      <c r="K4" s="1030" t="s">
        <v>17</v>
      </c>
      <c r="L4" s="1030" t="s">
        <v>13</v>
      </c>
      <c r="M4" s="1030" t="s">
        <v>18</v>
      </c>
      <c r="N4" s="1030" t="s">
        <v>19</v>
      </c>
      <c r="O4" s="1030" t="s">
        <v>210</v>
      </c>
      <c r="P4" s="1030" t="s">
        <v>20</v>
      </c>
      <c r="Q4" s="1030" t="s">
        <v>17</v>
      </c>
      <c r="R4" s="1112" t="s">
        <v>21</v>
      </c>
      <c r="S4" s="1111"/>
      <c r="T4" s="1114"/>
      <c r="U4" s="1114"/>
    </row>
    <row r="5" spans="1:21" ht="28.2" thickBot="1" x14ac:dyDescent="0.35">
      <c r="A5" s="1014"/>
      <c r="B5" s="1016"/>
      <c r="C5" s="315" t="s">
        <v>22</v>
      </c>
      <c r="D5" s="315" t="s">
        <v>23</v>
      </c>
      <c r="E5" s="1117"/>
      <c r="F5" s="1016"/>
      <c r="G5" s="1016"/>
      <c r="H5" s="1016"/>
      <c r="I5" s="315" t="s">
        <v>24</v>
      </c>
      <c r="J5" s="315" t="s">
        <v>25</v>
      </c>
      <c r="K5" s="1016"/>
      <c r="L5" s="1016"/>
      <c r="M5" s="1016"/>
      <c r="N5" s="1016"/>
      <c r="O5" s="1016"/>
      <c r="P5" s="1016"/>
      <c r="Q5" s="1016"/>
      <c r="R5" s="1022"/>
      <c r="S5" s="1111"/>
      <c r="T5" s="1115"/>
      <c r="U5" s="1115"/>
    </row>
    <row r="6" spans="1:21" ht="15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258">
        <v>21</v>
      </c>
    </row>
    <row r="7" spans="1:21" s="76" customFormat="1" x14ac:dyDescent="0.3">
      <c r="A7" s="604" t="s">
        <v>3760</v>
      </c>
      <c r="B7" s="607" t="s">
        <v>3761</v>
      </c>
      <c r="C7" s="36">
        <v>0</v>
      </c>
      <c r="D7" s="36">
        <v>0.13100000000000001</v>
      </c>
      <c r="E7" s="1118">
        <v>0.29699999999999999</v>
      </c>
      <c r="F7" s="662">
        <v>1187</v>
      </c>
      <c r="G7" s="662" t="s">
        <v>3492</v>
      </c>
      <c r="H7" s="486"/>
      <c r="I7" s="34"/>
      <c r="J7" s="34"/>
      <c r="K7" s="34"/>
      <c r="L7" s="34"/>
      <c r="M7" s="33"/>
      <c r="N7" s="34"/>
      <c r="O7" s="34"/>
      <c r="P7" s="34"/>
      <c r="Q7" s="34"/>
      <c r="R7" s="33">
        <v>70170010671</v>
      </c>
      <c r="S7" s="727" t="s">
        <v>3762</v>
      </c>
      <c r="T7" s="664" t="s">
        <v>31</v>
      </c>
      <c r="U7" s="492"/>
    </row>
    <row r="8" spans="1:21" s="76" customFormat="1" ht="15" thickBot="1" x14ac:dyDescent="0.35">
      <c r="A8" s="606"/>
      <c r="B8" s="609"/>
      <c r="C8" s="38">
        <v>0.13100000000000001</v>
      </c>
      <c r="D8" s="38">
        <v>0.29699999999999999</v>
      </c>
      <c r="E8" s="1119"/>
      <c r="F8" s="663"/>
      <c r="G8" s="663"/>
      <c r="H8" s="18"/>
      <c r="I8" s="19"/>
      <c r="J8" s="19"/>
      <c r="K8" s="19"/>
      <c r="L8" s="19"/>
      <c r="M8" s="20"/>
      <c r="N8" s="19"/>
      <c r="O8" s="19"/>
      <c r="P8" s="19"/>
      <c r="Q8" s="19"/>
      <c r="R8" s="20">
        <v>70170010721</v>
      </c>
      <c r="S8" s="729"/>
      <c r="T8" s="665"/>
      <c r="U8" s="492"/>
    </row>
    <row r="9" spans="1:21" s="76" customFormat="1" ht="24.6" thickBot="1" x14ac:dyDescent="0.35">
      <c r="A9" s="22" t="s">
        <v>3763</v>
      </c>
      <c r="B9" s="23" t="s">
        <v>2405</v>
      </c>
      <c r="C9" s="39">
        <v>0</v>
      </c>
      <c r="D9" s="39">
        <v>0.39700000000000002</v>
      </c>
      <c r="E9" s="39">
        <v>0.39700000000000002</v>
      </c>
      <c r="F9" s="3">
        <v>2384</v>
      </c>
      <c r="G9" s="3" t="s">
        <v>3492</v>
      </c>
      <c r="H9" s="27"/>
      <c r="I9" s="27"/>
      <c r="J9" s="27"/>
      <c r="K9" s="27"/>
      <c r="L9" s="27"/>
      <c r="M9" s="3"/>
      <c r="N9" s="27"/>
      <c r="O9" s="27"/>
      <c r="P9" s="27"/>
      <c r="Q9" s="27"/>
      <c r="R9" s="3">
        <v>70170010274</v>
      </c>
      <c r="S9" s="27" t="s">
        <v>3762</v>
      </c>
      <c r="T9" s="5" t="s">
        <v>31</v>
      </c>
      <c r="U9" s="492"/>
    </row>
    <row r="10" spans="1:21" s="76" customFormat="1" x14ac:dyDescent="0.3">
      <c r="A10" s="604" t="s">
        <v>3764</v>
      </c>
      <c r="B10" s="607" t="s">
        <v>42</v>
      </c>
      <c r="C10" s="36">
        <v>0</v>
      </c>
      <c r="D10" s="36">
        <v>0.14799999999999999</v>
      </c>
      <c r="E10" s="1118">
        <v>0.35899999999999999</v>
      </c>
      <c r="F10" s="33">
        <v>594</v>
      </c>
      <c r="G10" s="33" t="s">
        <v>32</v>
      </c>
      <c r="H10" s="34"/>
      <c r="I10" s="34"/>
      <c r="J10" s="34"/>
      <c r="K10" s="34"/>
      <c r="L10" s="34"/>
      <c r="M10" s="33"/>
      <c r="N10" s="34"/>
      <c r="O10" s="34"/>
      <c r="P10" s="34"/>
      <c r="Q10" s="34"/>
      <c r="R10" s="33">
        <v>70170010685</v>
      </c>
      <c r="S10" s="727" t="s">
        <v>3762</v>
      </c>
      <c r="T10" s="664" t="s">
        <v>31</v>
      </c>
      <c r="U10" s="494"/>
    </row>
    <row r="11" spans="1:21" s="76" customFormat="1" ht="24.6" thickBot="1" x14ac:dyDescent="0.35">
      <c r="A11" s="606"/>
      <c r="B11" s="609"/>
      <c r="C11" s="403">
        <v>0.14799999999999999</v>
      </c>
      <c r="D11" s="38">
        <v>0.35899999999999999</v>
      </c>
      <c r="E11" s="1119"/>
      <c r="F11" s="20">
        <v>842</v>
      </c>
      <c r="G11" s="20" t="s">
        <v>3492</v>
      </c>
      <c r="H11" s="94"/>
      <c r="I11" s="19"/>
      <c r="J11" s="19"/>
      <c r="K11" s="19"/>
      <c r="L11" s="19"/>
      <c r="M11" s="20"/>
      <c r="N11" s="19"/>
      <c r="O11" s="19"/>
      <c r="P11" s="19"/>
      <c r="Q11" s="19"/>
      <c r="R11" s="20">
        <v>70170010710</v>
      </c>
      <c r="S11" s="729"/>
      <c r="T11" s="665"/>
      <c r="U11" s="494"/>
    </row>
    <row r="12" spans="1:21" s="76" customFormat="1" ht="24" x14ac:dyDescent="0.3">
      <c r="A12" s="666" t="s">
        <v>3765</v>
      </c>
      <c r="B12" s="651" t="s">
        <v>907</v>
      </c>
      <c r="C12" s="36">
        <v>0</v>
      </c>
      <c r="D12" s="36">
        <v>0.20699999999999999</v>
      </c>
      <c r="E12" s="1118">
        <v>0.96799999999999997</v>
      </c>
      <c r="F12" s="33">
        <v>1240</v>
      </c>
      <c r="G12" s="33" t="s">
        <v>3492</v>
      </c>
      <c r="H12" s="34"/>
      <c r="I12" s="34"/>
      <c r="J12" s="34"/>
      <c r="K12" s="34"/>
      <c r="L12" s="34"/>
      <c r="M12" s="33"/>
      <c r="N12" s="34"/>
      <c r="O12" s="34"/>
      <c r="P12" s="34"/>
      <c r="Q12" s="34"/>
      <c r="R12" s="33">
        <v>70170010654</v>
      </c>
      <c r="S12" s="727" t="s">
        <v>3762</v>
      </c>
      <c r="T12" s="664" t="s">
        <v>31</v>
      </c>
      <c r="U12" s="494"/>
    </row>
    <row r="13" spans="1:21" s="76" customFormat="1" ht="24" x14ac:dyDescent="0.3">
      <c r="A13" s="748"/>
      <c r="B13" s="711"/>
      <c r="C13" s="372">
        <v>0.20699999999999999</v>
      </c>
      <c r="D13" s="37">
        <v>0.59399999999999997</v>
      </c>
      <c r="E13" s="1185"/>
      <c r="F13" s="14">
        <v>2321</v>
      </c>
      <c r="G13" s="14" t="s">
        <v>3492</v>
      </c>
      <c r="H13" s="13"/>
      <c r="I13" s="13"/>
      <c r="J13" s="13"/>
      <c r="K13" s="13"/>
      <c r="L13" s="13"/>
      <c r="M13" s="14"/>
      <c r="N13" s="13"/>
      <c r="O13" s="13"/>
      <c r="P13" s="13"/>
      <c r="Q13" s="13"/>
      <c r="R13" s="14">
        <v>70170010711</v>
      </c>
      <c r="S13" s="728"/>
      <c r="T13" s="724"/>
      <c r="U13" s="494"/>
    </row>
    <row r="14" spans="1:21" s="76" customFormat="1" x14ac:dyDescent="0.3">
      <c r="A14" s="748"/>
      <c r="B14" s="711"/>
      <c r="C14" s="37">
        <v>0.59399999999999997</v>
      </c>
      <c r="D14" s="37">
        <v>0.71299999999999997</v>
      </c>
      <c r="E14" s="1185"/>
      <c r="F14" s="14">
        <v>716</v>
      </c>
      <c r="G14" s="14" t="s">
        <v>32</v>
      </c>
      <c r="H14" s="13"/>
      <c r="I14" s="13"/>
      <c r="J14" s="13"/>
      <c r="K14" s="13"/>
      <c r="L14" s="13"/>
      <c r="M14" s="14"/>
      <c r="N14" s="13"/>
      <c r="O14" s="13"/>
      <c r="P14" s="13"/>
      <c r="Q14" s="13"/>
      <c r="R14" s="14">
        <v>70170010712</v>
      </c>
      <c r="S14" s="728"/>
      <c r="T14" s="724"/>
      <c r="U14" s="494"/>
    </row>
    <row r="15" spans="1:21" s="76" customFormat="1" ht="15" thickBot="1" x14ac:dyDescent="0.35">
      <c r="A15" s="667"/>
      <c r="B15" s="652"/>
      <c r="C15" s="38">
        <v>0.71299999999999997</v>
      </c>
      <c r="D15" s="38">
        <v>0.96799999999999997</v>
      </c>
      <c r="E15" s="1119"/>
      <c r="F15" s="20">
        <v>1532</v>
      </c>
      <c r="G15" s="20" t="s">
        <v>32</v>
      </c>
      <c r="H15" s="19"/>
      <c r="I15" s="19"/>
      <c r="J15" s="19"/>
      <c r="K15" s="19"/>
      <c r="L15" s="19"/>
      <c r="M15" s="20"/>
      <c r="N15" s="19"/>
      <c r="O15" s="19"/>
      <c r="P15" s="19"/>
      <c r="Q15" s="19"/>
      <c r="R15" s="20">
        <v>70170010713</v>
      </c>
      <c r="S15" s="729"/>
      <c r="T15" s="665"/>
      <c r="U15" s="494"/>
    </row>
    <row r="16" spans="1:21" s="76" customFormat="1" ht="24.6" thickBot="1" x14ac:dyDescent="0.35">
      <c r="A16" s="22" t="s">
        <v>3766</v>
      </c>
      <c r="B16" s="23" t="s">
        <v>3767</v>
      </c>
      <c r="C16" s="39">
        <v>0</v>
      </c>
      <c r="D16" s="39">
        <v>0.67500000000000004</v>
      </c>
      <c r="E16" s="39">
        <v>0.67500000000000004</v>
      </c>
      <c r="F16" s="3">
        <v>4049</v>
      </c>
      <c r="G16" s="3" t="s">
        <v>3492</v>
      </c>
      <c r="H16" s="27"/>
      <c r="I16" s="27"/>
      <c r="J16" s="27"/>
      <c r="K16" s="27"/>
      <c r="L16" s="27"/>
      <c r="M16" s="3"/>
      <c r="N16" s="27"/>
      <c r="O16" s="27"/>
      <c r="P16" s="27"/>
      <c r="Q16" s="27"/>
      <c r="R16" s="3">
        <v>70170010655</v>
      </c>
      <c r="S16" s="27" t="s">
        <v>3762</v>
      </c>
      <c r="T16" s="5" t="s">
        <v>31</v>
      </c>
      <c r="U16" s="492"/>
    </row>
    <row r="17" spans="1:21" s="76" customFormat="1" ht="24" x14ac:dyDescent="0.3">
      <c r="A17" s="604" t="s">
        <v>3768</v>
      </c>
      <c r="B17" s="607" t="s">
        <v>85</v>
      </c>
      <c r="C17" s="36">
        <v>0</v>
      </c>
      <c r="D17" s="36">
        <v>0.441</v>
      </c>
      <c r="E17" s="1118">
        <v>0.88</v>
      </c>
      <c r="F17" s="33">
        <v>2644</v>
      </c>
      <c r="G17" s="33" t="s">
        <v>3492</v>
      </c>
      <c r="H17" s="486"/>
      <c r="I17" s="34"/>
      <c r="J17" s="34"/>
      <c r="K17" s="34"/>
      <c r="L17" s="34"/>
      <c r="M17" s="33"/>
      <c r="N17" s="34"/>
      <c r="O17" s="34"/>
      <c r="P17" s="34"/>
      <c r="Q17" s="34"/>
      <c r="R17" s="33">
        <v>70170010656</v>
      </c>
      <c r="S17" s="727" t="s">
        <v>3762</v>
      </c>
      <c r="T17" s="664" t="s">
        <v>31</v>
      </c>
      <c r="U17" s="492"/>
    </row>
    <row r="18" spans="1:21" s="76" customFormat="1" ht="15" thickBot="1" x14ac:dyDescent="0.35">
      <c r="A18" s="606"/>
      <c r="B18" s="609"/>
      <c r="C18" s="403">
        <v>0.441</v>
      </c>
      <c r="D18" s="38">
        <v>0.88</v>
      </c>
      <c r="E18" s="1119"/>
      <c r="F18" s="20">
        <v>2636</v>
      </c>
      <c r="G18" s="20" t="s">
        <v>32</v>
      </c>
      <c r="H18" s="18"/>
      <c r="I18" s="19"/>
      <c r="J18" s="19"/>
      <c r="K18" s="19"/>
      <c r="L18" s="19"/>
      <c r="M18" s="20"/>
      <c r="N18" s="19"/>
      <c r="O18" s="19"/>
      <c r="P18" s="19"/>
      <c r="Q18" s="19"/>
      <c r="R18" s="20">
        <v>70170010656</v>
      </c>
      <c r="S18" s="729"/>
      <c r="T18" s="665"/>
      <c r="U18" s="492"/>
    </row>
    <row r="19" spans="1:21" s="76" customFormat="1" x14ac:dyDescent="0.3">
      <c r="A19" s="666" t="s">
        <v>3769</v>
      </c>
      <c r="B19" s="651" t="s">
        <v>3770</v>
      </c>
      <c r="C19" s="36">
        <v>0</v>
      </c>
      <c r="D19" s="36">
        <v>6.2E-2</v>
      </c>
      <c r="E19" s="1118">
        <v>0.19700000000000001</v>
      </c>
      <c r="F19" s="662">
        <v>1179</v>
      </c>
      <c r="G19" s="662" t="s">
        <v>3492</v>
      </c>
      <c r="H19" s="89"/>
      <c r="I19" s="34"/>
      <c r="J19" s="34"/>
      <c r="K19" s="34"/>
      <c r="L19" s="34"/>
      <c r="M19" s="33"/>
      <c r="N19" s="34"/>
      <c r="O19" s="34"/>
      <c r="P19" s="34"/>
      <c r="Q19" s="34"/>
      <c r="R19" s="33">
        <v>70170010657</v>
      </c>
      <c r="S19" s="727" t="s">
        <v>3762</v>
      </c>
      <c r="T19" s="664" t="s">
        <v>31</v>
      </c>
      <c r="U19" s="492"/>
    </row>
    <row r="20" spans="1:21" s="76" customFormat="1" x14ac:dyDescent="0.3">
      <c r="A20" s="748"/>
      <c r="B20" s="711"/>
      <c r="C20" s="372">
        <v>6.2E-2</v>
      </c>
      <c r="D20" s="37">
        <v>9.4E-2</v>
      </c>
      <c r="E20" s="1185"/>
      <c r="F20" s="714"/>
      <c r="G20" s="714"/>
      <c r="H20" s="92"/>
      <c r="I20" s="13"/>
      <c r="J20" s="13"/>
      <c r="K20" s="13"/>
      <c r="L20" s="13"/>
      <c r="M20" s="14"/>
      <c r="N20" s="13"/>
      <c r="O20" s="13"/>
      <c r="P20" s="13"/>
      <c r="Q20" s="13"/>
      <c r="R20" s="14" t="s">
        <v>3771</v>
      </c>
      <c r="S20" s="728"/>
      <c r="T20" s="724"/>
      <c r="U20" s="492"/>
    </row>
    <row r="21" spans="1:21" s="76" customFormat="1" x14ac:dyDescent="0.3">
      <c r="A21" s="748"/>
      <c r="B21" s="711"/>
      <c r="C21" s="37">
        <v>9.4E-2</v>
      </c>
      <c r="D21" s="37">
        <v>0.13300000000000001</v>
      </c>
      <c r="E21" s="1185"/>
      <c r="F21" s="714"/>
      <c r="G21" s="714"/>
      <c r="H21" s="13"/>
      <c r="I21" s="13"/>
      <c r="J21" s="13"/>
      <c r="K21" s="13"/>
      <c r="L21" s="13"/>
      <c r="M21" s="14"/>
      <c r="N21" s="13"/>
      <c r="O21" s="13"/>
      <c r="P21" s="13"/>
      <c r="Q21" s="13"/>
      <c r="R21" s="14" t="s">
        <v>3772</v>
      </c>
      <c r="S21" s="728"/>
      <c r="T21" s="724"/>
      <c r="U21" s="492"/>
    </row>
    <row r="22" spans="1:21" s="76" customFormat="1" ht="15" thickBot="1" x14ac:dyDescent="0.35">
      <c r="A22" s="667"/>
      <c r="B22" s="652"/>
      <c r="C22" s="38">
        <v>0.13300000000000001</v>
      </c>
      <c r="D22" s="38">
        <v>0.19700000000000001</v>
      </c>
      <c r="E22" s="1119"/>
      <c r="F22" s="663"/>
      <c r="G22" s="663"/>
      <c r="H22" s="94"/>
      <c r="I22" s="19"/>
      <c r="J22" s="19"/>
      <c r="K22" s="19"/>
      <c r="L22" s="19"/>
      <c r="M22" s="20"/>
      <c r="N22" s="19"/>
      <c r="O22" s="19"/>
      <c r="P22" s="19"/>
      <c r="Q22" s="19"/>
      <c r="R22" s="20" t="s">
        <v>3773</v>
      </c>
      <c r="S22" s="729"/>
      <c r="T22" s="665"/>
      <c r="U22" s="492"/>
    </row>
    <row r="23" spans="1:21" s="76" customFormat="1" ht="24" x14ac:dyDescent="0.3">
      <c r="A23" s="604" t="s">
        <v>3774</v>
      </c>
      <c r="B23" s="607" t="s">
        <v>3775</v>
      </c>
      <c r="C23" s="36">
        <v>0</v>
      </c>
      <c r="D23" s="36">
        <v>8.2000000000000003E-2</v>
      </c>
      <c r="E23" s="1118">
        <v>0.34499999999999997</v>
      </c>
      <c r="F23" s="33">
        <v>491</v>
      </c>
      <c r="G23" s="33" t="s">
        <v>3492</v>
      </c>
      <c r="H23" s="34"/>
      <c r="I23" s="34"/>
      <c r="J23" s="34"/>
      <c r="K23" s="34"/>
      <c r="L23" s="34"/>
      <c r="M23" s="33"/>
      <c r="N23" s="34"/>
      <c r="O23" s="34"/>
      <c r="P23" s="34"/>
      <c r="Q23" s="34"/>
      <c r="R23" s="33">
        <v>70170010720</v>
      </c>
      <c r="S23" s="727" t="s">
        <v>3762</v>
      </c>
      <c r="T23" s="664" t="s">
        <v>31</v>
      </c>
      <c r="U23" s="494"/>
    </row>
    <row r="24" spans="1:21" s="76" customFormat="1" ht="15" thickBot="1" x14ac:dyDescent="0.35">
      <c r="A24" s="606"/>
      <c r="B24" s="609"/>
      <c r="C24" s="403">
        <v>8.2000000000000003E-2</v>
      </c>
      <c r="D24" s="38">
        <v>0.34499999999999997</v>
      </c>
      <c r="E24" s="1119"/>
      <c r="F24" s="20">
        <v>1578</v>
      </c>
      <c r="G24" s="20" t="s">
        <v>32</v>
      </c>
      <c r="H24" s="19"/>
      <c r="I24" s="19"/>
      <c r="J24" s="19"/>
      <c r="K24" s="19"/>
      <c r="L24" s="19"/>
      <c r="M24" s="20"/>
      <c r="N24" s="19"/>
      <c r="O24" s="19"/>
      <c r="P24" s="19"/>
      <c r="Q24" s="19"/>
      <c r="R24" s="20">
        <v>70170010658</v>
      </c>
      <c r="S24" s="729"/>
      <c r="T24" s="665"/>
      <c r="U24" s="494"/>
    </row>
    <row r="25" spans="1:21" s="76" customFormat="1" x14ac:dyDescent="0.3">
      <c r="A25" s="604" t="s">
        <v>3776</v>
      </c>
      <c r="B25" s="607" t="s">
        <v>226</v>
      </c>
      <c r="C25" s="36">
        <v>0</v>
      </c>
      <c r="D25" s="36">
        <v>0.14000000000000001</v>
      </c>
      <c r="E25" s="1118">
        <v>0.85399999999999998</v>
      </c>
      <c r="F25" s="662">
        <v>5121</v>
      </c>
      <c r="G25" s="662" t="s">
        <v>3492</v>
      </c>
      <c r="H25" s="34"/>
      <c r="I25" s="34"/>
      <c r="J25" s="34"/>
      <c r="K25" s="34"/>
      <c r="L25" s="34"/>
      <c r="M25" s="33"/>
      <c r="N25" s="34"/>
      <c r="O25" s="34"/>
      <c r="P25" s="34"/>
      <c r="Q25" s="34"/>
      <c r="R25" s="33">
        <v>70170010709</v>
      </c>
      <c r="S25" s="727" t="s">
        <v>3762</v>
      </c>
      <c r="T25" s="664" t="s">
        <v>31</v>
      </c>
      <c r="U25" s="494"/>
    </row>
    <row r="26" spans="1:21" s="76" customFormat="1" ht="15" thickBot="1" x14ac:dyDescent="0.35">
      <c r="A26" s="606"/>
      <c r="B26" s="609"/>
      <c r="C26" s="403">
        <v>0.14000000000000001</v>
      </c>
      <c r="D26" s="38">
        <v>0.85399999999999998</v>
      </c>
      <c r="E26" s="1119"/>
      <c r="F26" s="663"/>
      <c r="G26" s="663"/>
      <c r="H26" s="19"/>
      <c r="I26" s="19"/>
      <c r="J26" s="19"/>
      <c r="K26" s="19"/>
      <c r="L26" s="19"/>
      <c r="M26" s="20"/>
      <c r="N26" s="19"/>
      <c r="O26" s="19"/>
      <c r="P26" s="19"/>
      <c r="Q26" s="19"/>
      <c r="R26" s="47">
        <v>70170010659</v>
      </c>
      <c r="S26" s="729"/>
      <c r="T26" s="665"/>
      <c r="U26" s="494"/>
    </row>
    <row r="27" spans="1:21" s="76" customFormat="1" ht="24" x14ac:dyDescent="0.3">
      <c r="A27" s="666" t="s">
        <v>3777</v>
      </c>
      <c r="B27" s="651" t="s">
        <v>2565</v>
      </c>
      <c r="C27" s="36">
        <v>0</v>
      </c>
      <c r="D27" s="36">
        <v>0.20599999999999999</v>
      </c>
      <c r="E27" s="1118">
        <v>0.55300000000000005</v>
      </c>
      <c r="F27" s="33">
        <v>1238</v>
      </c>
      <c r="G27" s="33" t="s">
        <v>3492</v>
      </c>
      <c r="H27" s="34"/>
      <c r="I27" s="34"/>
      <c r="J27" s="34"/>
      <c r="K27" s="34"/>
      <c r="L27" s="34"/>
      <c r="M27" s="33"/>
      <c r="N27" s="34"/>
      <c r="O27" s="34"/>
      <c r="P27" s="34"/>
      <c r="Q27" s="34"/>
      <c r="R27" s="33">
        <v>70170010718</v>
      </c>
      <c r="S27" s="727" t="s">
        <v>3762</v>
      </c>
      <c r="T27" s="664" t="s">
        <v>31</v>
      </c>
      <c r="U27" s="494"/>
    </row>
    <row r="28" spans="1:21" s="76" customFormat="1" ht="24" x14ac:dyDescent="0.3">
      <c r="A28" s="748"/>
      <c r="B28" s="711"/>
      <c r="C28" s="372">
        <v>0.20599999999999999</v>
      </c>
      <c r="D28" s="37">
        <v>0.312</v>
      </c>
      <c r="E28" s="1185"/>
      <c r="F28" s="14">
        <v>638</v>
      </c>
      <c r="G28" s="14" t="s">
        <v>3492</v>
      </c>
      <c r="H28" s="13"/>
      <c r="I28" s="13"/>
      <c r="J28" s="13"/>
      <c r="K28" s="13"/>
      <c r="L28" s="13"/>
      <c r="M28" s="14"/>
      <c r="N28" s="13"/>
      <c r="O28" s="13"/>
      <c r="P28" s="13"/>
      <c r="Q28" s="13"/>
      <c r="R28" s="14">
        <v>70170010719</v>
      </c>
      <c r="S28" s="728"/>
      <c r="T28" s="724"/>
      <c r="U28" s="494"/>
    </row>
    <row r="29" spans="1:21" s="76" customFormat="1" ht="15" thickBot="1" x14ac:dyDescent="0.35">
      <c r="A29" s="667"/>
      <c r="B29" s="652"/>
      <c r="C29" s="38">
        <v>0.312</v>
      </c>
      <c r="D29" s="38">
        <v>0.55300000000000005</v>
      </c>
      <c r="E29" s="1119"/>
      <c r="F29" s="20">
        <v>1445</v>
      </c>
      <c r="G29" s="20" t="s">
        <v>32</v>
      </c>
      <c r="H29" s="19"/>
      <c r="I29" s="19"/>
      <c r="J29" s="19"/>
      <c r="K29" s="19"/>
      <c r="L29" s="19"/>
      <c r="M29" s="20"/>
      <c r="N29" s="19"/>
      <c r="O29" s="19"/>
      <c r="P29" s="19"/>
      <c r="Q29" s="19"/>
      <c r="R29" s="20">
        <v>70170010660</v>
      </c>
      <c r="S29" s="729"/>
      <c r="T29" s="665"/>
      <c r="U29" s="494"/>
    </row>
    <row r="30" spans="1:21" s="76" customFormat="1" x14ac:dyDescent="0.3">
      <c r="A30" s="604" t="s">
        <v>3778</v>
      </c>
      <c r="B30" s="607" t="s">
        <v>3779</v>
      </c>
      <c r="C30" s="36">
        <v>0</v>
      </c>
      <c r="D30" s="36">
        <v>4.5999999999999999E-2</v>
      </c>
      <c r="E30" s="1118">
        <v>0.47399999999999998</v>
      </c>
      <c r="F30" s="33">
        <v>275</v>
      </c>
      <c r="G30" s="33" t="s">
        <v>32</v>
      </c>
      <c r="H30" s="34"/>
      <c r="I30" s="34"/>
      <c r="J30" s="34"/>
      <c r="K30" s="34"/>
      <c r="L30" s="34"/>
      <c r="M30" s="33"/>
      <c r="N30" s="34"/>
      <c r="O30" s="34"/>
      <c r="P30" s="34"/>
      <c r="Q30" s="34"/>
      <c r="R30" s="33">
        <v>70170010716</v>
      </c>
      <c r="S30" s="727" t="s">
        <v>3762</v>
      </c>
      <c r="T30" s="664" t="s">
        <v>31</v>
      </c>
      <c r="U30" s="494"/>
    </row>
    <row r="31" spans="1:21" s="76" customFormat="1" ht="24" x14ac:dyDescent="0.3">
      <c r="A31" s="605"/>
      <c r="B31" s="608"/>
      <c r="C31" s="372">
        <v>4.5999999999999999E-2</v>
      </c>
      <c r="D31" s="37">
        <v>0.245</v>
      </c>
      <c r="E31" s="1185"/>
      <c r="F31" s="14">
        <v>1197</v>
      </c>
      <c r="G31" s="14" t="s">
        <v>3492</v>
      </c>
      <c r="H31" s="13"/>
      <c r="I31" s="13"/>
      <c r="J31" s="13"/>
      <c r="K31" s="13"/>
      <c r="L31" s="13"/>
      <c r="M31" s="14"/>
      <c r="N31" s="13"/>
      <c r="O31" s="13"/>
      <c r="P31" s="13"/>
      <c r="Q31" s="13"/>
      <c r="R31" s="14">
        <v>70170010716</v>
      </c>
      <c r="S31" s="728"/>
      <c r="T31" s="724"/>
      <c r="U31" s="494"/>
    </row>
    <row r="32" spans="1:21" s="76" customFormat="1" ht="24" x14ac:dyDescent="0.3">
      <c r="A32" s="605"/>
      <c r="B32" s="608"/>
      <c r="C32" s="37">
        <v>0.245</v>
      </c>
      <c r="D32" s="37">
        <v>0.36399999999999999</v>
      </c>
      <c r="E32" s="1185"/>
      <c r="F32" s="14">
        <v>713</v>
      </c>
      <c r="G32" s="14" t="s">
        <v>3492</v>
      </c>
      <c r="H32" s="13"/>
      <c r="I32" s="13"/>
      <c r="J32" s="13"/>
      <c r="K32" s="13"/>
      <c r="L32" s="13"/>
      <c r="M32" s="14"/>
      <c r="N32" s="13"/>
      <c r="O32" s="13"/>
      <c r="P32" s="13"/>
      <c r="Q32" s="13"/>
      <c r="R32" s="14">
        <v>70170010661</v>
      </c>
      <c r="S32" s="728"/>
      <c r="T32" s="724"/>
      <c r="U32" s="494"/>
    </row>
    <row r="33" spans="1:21" s="76" customFormat="1" ht="15" thickBot="1" x14ac:dyDescent="0.35">
      <c r="A33" s="606"/>
      <c r="B33" s="609"/>
      <c r="C33" s="38">
        <v>0.36399999999999999</v>
      </c>
      <c r="D33" s="38">
        <v>0.47399999999999998</v>
      </c>
      <c r="E33" s="1119"/>
      <c r="F33" s="20">
        <v>660</v>
      </c>
      <c r="G33" s="20" t="s">
        <v>32</v>
      </c>
      <c r="H33" s="19"/>
      <c r="I33" s="19"/>
      <c r="J33" s="19"/>
      <c r="K33" s="19"/>
      <c r="L33" s="19"/>
      <c r="M33" s="20"/>
      <c r="N33" s="19"/>
      <c r="O33" s="19"/>
      <c r="P33" s="19"/>
      <c r="Q33" s="19"/>
      <c r="R33" s="20">
        <v>70170010717</v>
      </c>
      <c r="S33" s="729"/>
      <c r="T33" s="665"/>
      <c r="U33" s="494"/>
    </row>
    <row r="34" spans="1:21" s="76" customFormat="1" ht="24.6" thickBot="1" x14ac:dyDescent="0.35">
      <c r="A34" s="22" t="s">
        <v>3780</v>
      </c>
      <c r="B34" s="23" t="s">
        <v>3781</v>
      </c>
      <c r="C34" s="39">
        <v>0</v>
      </c>
      <c r="D34" s="39">
        <v>1.331</v>
      </c>
      <c r="E34" s="39">
        <v>1.331</v>
      </c>
      <c r="F34" s="3">
        <v>7986</v>
      </c>
      <c r="G34" s="3" t="s">
        <v>3492</v>
      </c>
      <c r="H34" s="27" t="s">
        <v>708</v>
      </c>
      <c r="I34" s="27">
        <v>1.2070000000000001</v>
      </c>
      <c r="J34" s="39" t="s">
        <v>3782</v>
      </c>
      <c r="K34" s="27">
        <v>18</v>
      </c>
      <c r="L34" s="27">
        <v>180</v>
      </c>
      <c r="M34" s="3"/>
      <c r="N34" s="27"/>
      <c r="O34" s="27"/>
      <c r="P34" s="27">
        <v>1029</v>
      </c>
      <c r="Q34" s="27">
        <v>1016</v>
      </c>
      <c r="R34" s="4">
        <v>70170010662</v>
      </c>
      <c r="S34" s="27" t="s">
        <v>3762</v>
      </c>
      <c r="T34" s="5" t="s">
        <v>31</v>
      </c>
      <c r="U34" s="492"/>
    </row>
    <row r="35" spans="1:21" s="76" customFormat="1" ht="24.6" thickBot="1" x14ac:dyDescent="0.35">
      <c r="A35" s="22" t="s">
        <v>3783</v>
      </c>
      <c r="B35" s="23" t="s">
        <v>3784</v>
      </c>
      <c r="C35" s="39">
        <v>0</v>
      </c>
      <c r="D35" s="39">
        <v>1.155</v>
      </c>
      <c r="E35" s="39">
        <v>1.155</v>
      </c>
      <c r="F35" s="3">
        <v>6928</v>
      </c>
      <c r="G35" s="3" t="s">
        <v>3492</v>
      </c>
      <c r="H35" s="27"/>
      <c r="I35" s="27"/>
      <c r="J35" s="27"/>
      <c r="K35" s="27"/>
      <c r="L35" s="27"/>
      <c r="M35" s="3"/>
      <c r="N35" s="27"/>
      <c r="O35" s="27"/>
      <c r="P35" s="27"/>
      <c r="Q35" s="27"/>
      <c r="R35" s="3">
        <v>70170010663</v>
      </c>
      <c r="S35" s="27" t="s">
        <v>3762</v>
      </c>
      <c r="T35" s="5" t="s">
        <v>31</v>
      </c>
      <c r="U35" s="492"/>
    </row>
    <row r="36" spans="1:21" s="76" customFormat="1" ht="24.6" thickBot="1" x14ac:dyDescent="0.35">
      <c r="A36" s="22" t="s">
        <v>3785</v>
      </c>
      <c r="B36" s="23" t="s">
        <v>2439</v>
      </c>
      <c r="C36" s="39">
        <v>0</v>
      </c>
      <c r="D36" s="39">
        <v>0.185</v>
      </c>
      <c r="E36" s="39">
        <v>0.185</v>
      </c>
      <c r="F36" s="3">
        <v>1110</v>
      </c>
      <c r="G36" s="3" t="s">
        <v>3492</v>
      </c>
      <c r="H36" s="27"/>
      <c r="I36" s="27"/>
      <c r="J36" s="27"/>
      <c r="K36" s="27"/>
      <c r="L36" s="27"/>
      <c r="M36" s="3"/>
      <c r="N36" s="27"/>
      <c r="O36" s="27"/>
      <c r="P36" s="27"/>
      <c r="Q36" s="27"/>
      <c r="R36" s="3">
        <v>70170010664</v>
      </c>
      <c r="S36" s="27" t="s">
        <v>3762</v>
      </c>
      <c r="T36" s="5" t="s">
        <v>31</v>
      </c>
      <c r="U36" s="492"/>
    </row>
    <row r="37" spans="1:21" s="76" customFormat="1" x14ac:dyDescent="0.3">
      <c r="A37" s="666" t="s">
        <v>3786</v>
      </c>
      <c r="B37" s="651" t="s">
        <v>87</v>
      </c>
      <c r="C37" s="36">
        <v>0</v>
      </c>
      <c r="D37" s="36">
        <v>9.4E-2</v>
      </c>
      <c r="E37" s="1118">
        <v>0.121</v>
      </c>
      <c r="F37" s="662">
        <v>727</v>
      </c>
      <c r="G37" s="662" t="s">
        <v>32</v>
      </c>
      <c r="H37" s="34"/>
      <c r="I37" s="34"/>
      <c r="J37" s="34"/>
      <c r="K37" s="34"/>
      <c r="L37" s="34"/>
      <c r="M37" s="33"/>
      <c r="N37" s="34"/>
      <c r="O37" s="34"/>
      <c r="P37" s="34"/>
      <c r="Q37" s="34"/>
      <c r="R37" s="33">
        <v>70170010665</v>
      </c>
      <c r="S37" s="727" t="s">
        <v>3762</v>
      </c>
      <c r="T37" s="664" t="s">
        <v>31</v>
      </c>
      <c r="U37" s="492"/>
    </row>
    <row r="38" spans="1:21" s="76" customFormat="1" ht="15" thickBot="1" x14ac:dyDescent="0.35">
      <c r="A38" s="667"/>
      <c r="B38" s="652"/>
      <c r="C38" s="403">
        <v>9.4E-2</v>
      </c>
      <c r="D38" s="38">
        <v>0.121</v>
      </c>
      <c r="E38" s="1119"/>
      <c r="F38" s="663"/>
      <c r="G38" s="663"/>
      <c r="H38" s="94"/>
      <c r="I38" s="19"/>
      <c r="J38" s="19"/>
      <c r="K38" s="19"/>
      <c r="L38" s="19"/>
      <c r="M38" s="20"/>
      <c r="N38" s="19"/>
      <c r="O38" s="19"/>
      <c r="P38" s="19"/>
      <c r="Q38" s="19"/>
      <c r="R38" s="20" t="s">
        <v>3787</v>
      </c>
      <c r="S38" s="729"/>
      <c r="T38" s="665"/>
      <c r="U38" s="492"/>
    </row>
    <row r="39" spans="1:21" s="76" customFormat="1" ht="24.6" thickBot="1" x14ac:dyDescent="0.35">
      <c r="A39" s="22" t="s">
        <v>3788</v>
      </c>
      <c r="B39" s="23" t="s">
        <v>2444</v>
      </c>
      <c r="C39" s="39">
        <v>0</v>
      </c>
      <c r="D39" s="39">
        <v>0.43099999999999999</v>
      </c>
      <c r="E39" s="39">
        <v>0.43099999999999999</v>
      </c>
      <c r="F39" s="3">
        <v>2585</v>
      </c>
      <c r="G39" s="3" t="s">
        <v>3492</v>
      </c>
      <c r="H39" s="27"/>
      <c r="I39" s="27"/>
      <c r="J39" s="27"/>
      <c r="K39" s="27"/>
      <c r="L39" s="27"/>
      <c r="M39" s="3"/>
      <c r="N39" s="27"/>
      <c r="O39" s="27"/>
      <c r="P39" s="27"/>
      <c r="Q39" s="27"/>
      <c r="R39" s="3">
        <v>70170010666</v>
      </c>
      <c r="S39" s="27" t="s">
        <v>3762</v>
      </c>
      <c r="T39" s="5" t="s">
        <v>31</v>
      </c>
      <c r="U39" s="492"/>
    </row>
    <row r="40" spans="1:21" s="76" customFormat="1" ht="24.6" thickBot="1" x14ac:dyDescent="0.35">
      <c r="A40" s="22" t="s">
        <v>3789</v>
      </c>
      <c r="B40" s="23" t="s">
        <v>3790</v>
      </c>
      <c r="C40" s="39">
        <v>0</v>
      </c>
      <c r="D40" s="39">
        <v>0.24299999999999999</v>
      </c>
      <c r="E40" s="39">
        <v>0.24299999999999999</v>
      </c>
      <c r="F40" s="3">
        <v>1457</v>
      </c>
      <c r="G40" s="3" t="s">
        <v>3492</v>
      </c>
      <c r="H40" s="27"/>
      <c r="I40" s="27"/>
      <c r="J40" s="27"/>
      <c r="K40" s="27"/>
      <c r="L40" s="27"/>
      <c r="M40" s="3"/>
      <c r="N40" s="27"/>
      <c r="O40" s="27"/>
      <c r="P40" s="27"/>
      <c r="Q40" s="27"/>
      <c r="R40" s="3">
        <v>70170010667</v>
      </c>
      <c r="S40" s="27" t="s">
        <v>3762</v>
      </c>
      <c r="T40" s="5" t="s">
        <v>31</v>
      </c>
      <c r="U40" s="492"/>
    </row>
    <row r="41" spans="1:21" s="76" customFormat="1" ht="24.6" thickBot="1" x14ac:dyDescent="0.35">
      <c r="A41" s="22" t="s">
        <v>3791</v>
      </c>
      <c r="B41" s="23" t="s">
        <v>921</v>
      </c>
      <c r="C41" s="39">
        <v>0</v>
      </c>
      <c r="D41" s="39">
        <v>8.3000000000000004E-2</v>
      </c>
      <c r="E41" s="39">
        <v>8.3000000000000004E-2</v>
      </c>
      <c r="F41" s="3">
        <v>500</v>
      </c>
      <c r="G41" s="3" t="s">
        <v>32</v>
      </c>
      <c r="H41" s="27"/>
      <c r="I41" s="27"/>
      <c r="J41" s="27"/>
      <c r="K41" s="27"/>
      <c r="L41" s="27"/>
      <c r="M41" s="3"/>
      <c r="N41" s="27"/>
      <c r="O41" s="27"/>
      <c r="P41" s="27"/>
      <c r="Q41" s="27"/>
      <c r="R41" s="3">
        <v>70170010668</v>
      </c>
      <c r="S41" s="27" t="s">
        <v>3762</v>
      </c>
      <c r="T41" s="5" t="s">
        <v>31</v>
      </c>
      <c r="U41" s="492"/>
    </row>
    <row r="42" spans="1:21" s="76" customFormat="1" ht="25.5" customHeight="1" thickBot="1" x14ac:dyDescent="0.35">
      <c r="A42" s="22" t="s">
        <v>3792</v>
      </c>
      <c r="B42" s="23" t="s">
        <v>389</v>
      </c>
      <c r="C42" s="39">
        <v>0</v>
      </c>
      <c r="D42" s="39">
        <v>1.4059999999999999</v>
      </c>
      <c r="E42" s="39">
        <v>1.4059999999999999</v>
      </c>
      <c r="F42" s="3">
        <v>8417</v>
      </c>
      <c r="G42" s="3" t="s">
        <v>3492</v>
      </c>
      <c r="H42" s="27"/>
      <c r="I42" s="27"/>
      <c r="J42" s="27"/>
      <c r="K42" s="27"/>
      <c r="L42" s="27"/>
      <c r="M42" s="3"/>
      <c r="N42" s="27"/>
      <c r="O42" s="27"/>
      <c r="P42" s="27"/>
      <c r="Q42" s="27"/>
      <c r="R42" s="3">
        <v>70170010669</v>
      </c>
      <c r="S42" s="27" t="s">
        <v>3762</v>
      </c>
      <c r="T42" s="5" t="s">
        <v>31</v>
      </c>
      <c r="U42" s="492"/>
    </row>
    <row r="43" spans="1:21" s="76" customFormat="1" ht="24.6" thickBot="1" x14ac:dyDescent="0.35">
      <c r="A43" s="22" t="s">
        <v>3793</v>
      </c>
      <c r="B43" s="23" t="s">
        <v>2455</v>
      </c>
      <c r="C43" s="39">
        <v>0</v>
      </c>
      <c r="D43" s="39">
        <v>0.46100000000000002</v>
      </c>
      <c r="E43" s="39">
        <v>0.46100000000000002</v>
      </c>
      <c r="F43" s="3">
        <v>2766</v>
      </c>
      <c r="G43" s="3" t="s">
        <v>3492</v>
      </c>
      <c r="H43" s="27"/>
      <c r="I43" s="27"/>
      <c r="J43" s="27"/>
      <c r="K43" s="27"/>
      <c r="L43" s="27"/>
      <c r="M43" s="3"/>
      <c r="N43" s="27"/>
      <c r="O43" s="27"/>
      <c r="P43" s="27"/>
      <c r="Q43" s="27"/>
      <c r="R43" s="3">
        <v>70170010670</v>
      </c>
      <c r="S43" s="27" t="s">
        <v>3762</v>
      </c>
      <c r="T43" s="5" t="s">
        <v>31</v>
      </c>
      <c r="U43" s="492"/>
    </row>
    <row r="44" spans="1:21" s="76" customFormat="1" ht="24.6" thickBot="1" x14ac:dyDescent="0.35">
      <c r="A44" s="22" t="s">
        <v>3794</v>
      </c>
      <c r="B44" s="23" t="s">
        <v>927</v>
      </c>
      <c r="C44" s="39">
        <v>0</v>
      </c>
      <c r="D44" s="39">
        <v>0.27100000000000002</v>
      </c>
      <c r="E44" s="39">
        <v>0.27100000000000002</v>
      </c>
      <c r="F44" s="3">
        <v>1623</v>
      </c>
      <c r="G44" s="3" t="s">
        <v>3492</v>
      </c>
      <c r="H44" s="26"/>
      <c r="I44" s="27"/>
      <c r="J44" s="27"/>
      <c r="K44" s="27"/>
      <c r="L44" s="27"/>
      <c r="M44" s="3"/>
      <c r="N44" s="27"/>
      <c r="O44" s="27"/>
      <c r="P44" s="27"/>
      <c r="Q44" s="27"/>
      <c r="R44" s="3">
        <v>70170010687</v>
      </c>
      <c r="S44" s="27" t="s">
        <v>3762</v>
      </c>
      <c r="T44" s="5" t="s">
        <v>31</v>
      </c>
      <c r="U44" s="492"/>
    </row>
    <row r="45" spans="1:21" s="76" customFormat="1" ht="24" x14ac:dyDescent="0.3">
      <c r="A45" s="604" t="s">
        <v>3795</v>
      </c>
      <c r="B45" s="607" t="s">
        <v>247</v>
      </c>
      <c r="C45" s="36">
        <v>0</v>
      </c>
      <c r="D45" s="36">
        <v>0.247</v>
      </c>
      <c r="E45" s="1118">
        <v>0.372</v>
      </c>
      <c r="F45" s="33">
        <v>1482</v>
      </c>
      <c r="G45" s="33" t="s">
        <v>3492</v>
      </c>
      <c r="H45" s="34"/>
      <c r="I45" s="34"/>
      <c r="J45" s="34"/>
      <c r="K45" s="34"/>
      <c r="L45" s="34"/>
      <c r="M45" s="33"/>
      <c r="N45" s="34"/>
      <c r="O45" s="34"/>
      <c r="P45" s="34"/>
      <c r="Q45" s="34"/>
      <c r="R45" s="44">
        <v>70170010672</v>
      </c>
      <c r="S45" s="727" t="s">
        <v>3762</v>
      </c>
      <c r="T45" s="664" t="s">
        <v>31</v>
      </c>
      <c r="U45" s="494"/>
    </row>
    <row r="46" spans="1:21" s="76" customFormat="1" ht="15" thickBot="1" x14ac:dyDescent="0.35">
      <c r="A46" s="606"/>
      <c r="B46" s="609"/>
      <c r="C46" s="403">
        <v>0.247</v>
      </c>
      <c r="D46" s="38">
        <v>0.372</v>
      </c>
      <c r="E46" s="1119"/>
      <c r="F46" s="20">
        <v>747</v>
      </c>
      <c r="G46" s="20" t="s">
        <v>32</v>
      </c>
      <c r="H46" s="19"/>
      <c r="I46" s="19"/>
      <c r="J46" s="19"/>
      <c r="K46" s="19"/>
      <c r="L46" s="19"/>
      <c r="M46" s="20"/>
      <c r="N46" s="19"/>
      <c r="O46" s="19"/>
      <c r="P46" s="19"/>
      <c r="Q46" s="19"/>
      <c r="R46" s="20">
        <v>70170010722</v>
      </c>
      <c r="S46" s="729"/>
      <c r="T46" s="665"/>
      <c r="U46" s="494"/>
    </row>
    <row r="47" spans="1:21" s="76" customFormat="1" ht="24.6" thickBot="1" x14ac:dyDescent="0.35">
      <c r="A47" s="22" t="s">
        <v>3796</v>
      </c>
      <c r="B47" s="23" t="s">
        <v>403</v>
      </c>
      <c r="C47" s="39">
        <v>0</v>
      </c>
      <c r="D47" s="39">
        <v>1.25</v>
      </c>
      <c r="E47" s="39">
        <v>1.25</v>
      </c>
      <c r="F47" s="3">
        <v>7484</v>
      </c>
      <c r="G47" s="3" t="s">
        <v>3492</v>
      </c>
      <c r="H47" s="26"/>
      <c r="I47" s="27"/>
      <c r="J47" s="27"/>
      <c r="K47" s="27"/>
      <c r="L47" s="27"/>
      <c r="M47" s="3"/>
      <c r="N47" s="27"/>
      <c r="O47" s="27"/>
      <c r="P47" s="27"/>
      <c r="Q47" s="27"/>
      <c r="R47" s="4">
        <v>70170010673</v>
      </c>
      <c r="S47" s="27" t="s">
        <v>3762</v>
      </c>
      <c r="T47" s="5" t="s">
        <v>31</v>
      </c>
      <c r="U47" s="492"/>
    </row>
    <row r="48" spans="1:21" s="76" customFormat="1" ht="24.6" thickBot="1" x14ac:dyDescent="0.35">
      <c r="A48" s="22" t="s">
        <v>3797</v>
      </c>
      <c r="B48" s="23" t="s">
        <v>3798</v>
      </c>
      <c r="C48" s="39">
        <v>0</v>
      </c>
      <c r="D48" s="39">
        <v>0.85199999999999998</v>
      </c>
      <c r="E48" s="39">
        <v>0.85199999999999998</v>
      </c>
      <c r="F48" s="3">
        <v>5113</v>
      </c>
      <c r="G48" s="3" t="s">
        <v>3492</v>
      </c>
      <c r="H48" s="27"/>
      <c r="I48" s="27"/>
      <c r="J48" s="27"/>
      <c r="K48" s="27"/>
      <c r="L48" s="27"/>
      <c r="M48" s="3"/>
      <c r="N48" s="27"/>
      <c r="O48" s="27"/>
      <c r="P48" s="27"/>
      <c r="Q48" s="27"/>
      <c r="R48" s="4">
        <v>70170010674</v>
      </c>
      <c r="S48" s="27" t="s">
        <v>3762</v>
      </c>
      <c r="T48" s="5" t="s">
        <v>31</v>
      </c>
      <c r="U48" s="492"/>
    </row>
    <row r="49" spans="1:21" s="76" customFormat="1" ht="24" x14ac:dyDescent="0.3">
      <c r="A49" s="604" t="s">
        <v>3799</v>
      </c>
      <c r="B49" s="607" t="s">
        <v>934</v>
      </c>
      <c r="C49" s="36">
        <v>0</v>
      </c>
      <c r="D49" s="36">
        <v>0.33700000000000002</v>
      </c>
      <c r="E49" s="1118">
        <v>1.1419999999999999</v>
      </c>
      <c r="F49" s="33">
        <v>2024</v>
      </c>
      <c r="G49" s="33" t="s">
        <v>3492</v>
      </c>
      <c r="H49" s="89"/>
      <c r="I49" s="34"/>
      <c r="J49" s="34"/>
      <c r="K49" s="34"/>
      <c r="L49" s="34"/>
      <c r="M49" s="33"/>
      <c r="N49" s="34"/>
      <c r="O49" s="34"/>
      <c r="P49" s="34"/>
      <c r="Q49" s="34"/>
      <c r="R49" s="33">
        <v>70170010675</v>
      </c>
      <c r="S49" s="727" t="s">
        <v>3762</v>
      </c>
      <c r="T49" s="664" t="s">
        <v>31</v>
      </c>
      <c r="U49" s="492"/>
    </row>
    <row r="50" spans="1:21" s="76" customFormat="1" ht="15" thickBot="1" x14ac:dyDescent="0.35">
      <c r="A50" s="606"/>
      <c r="B50" s="609"/>
      <c r="C50" s="403">
        <v>0.33700000000000002</v>
      </c>
      <c r="D50" s="38">
        <v>1.1419999999999999</v>
      </c>
      <c r="E50" s="1119"/>
      <c r="F50" s="20">
        <v>4827</v>
      </c>
      <c r="G50" s="20" t="s">
        <v>32</v>
      </c>
      <c r="H50" s="19"/>
      <c r="I50" s="19"/>
      <c r="J50" s="19"/>
      <c r="K50" s="19"/>
      <c r="L50" s="19"/>
      <c r="M50" s="20"/>
      <c r="N50" s="19"/>
      <c r="O50" s="19"/>
      <c r="P50" s="19"/>
      <c r="Q50" s="19"/>
      <c r="R50" s="20">
        <v>70170010675</v>
      </c>
      <c r="S50" s="729"/>
      <c r="T50" s="665"/>
      <c r="U50" s="492"/>
    </row>
    <row r="51" spans="1:21" s="76" customFormat="1" x14ac:dyDescent="0.3">
      <c r="A51" s="604" t="s">
        <v>3800</v>
      </c>
      <c r="B51" s="607" t="s">
        <v>2593</v>
      </c>
      <c r="C51" s="36">
        <v>0</v>
      </c>
      <c r="D51" s="36">
        <v>0.18</v>
      </c>
      <c r="E51" s="1118">
        <v>1.232</v>
      </c>
      <c r="F51" s="662">
        <v>7394</v>
      </c>
      <c r="G51" s="662" t="s">
        <v>3492</v>
      </c>
      <c r="H51" s="34"/>
      <c r="I51" s="34"/>
      <c r="J51" s="34"/>
      <c r="K51" s="34"/>
      <c r="L51" s="34"/>
      <c r="M51" s="33"/>
      <c r="N51" s="34"/>
      <c r="O51" s="34"/>
      <c r="P51" s="34"/>
      <c r="Q51" s="34"/>
      <c r="R51" s="33">
        <v>70170010708</v>
      </c>
      <c r="S51" s="727" t="s">
        <v>3762</v>
      </c>
      <c r="T51" s="664" t="s">
        <v>31</v>
      </c>
      <c r="U51" s="494"/>
    </row>
    <row r="52" spans="1:21" s="76" customFormat="1" x14ac:dyDescent="0.3">
      <c r="A52" s="605"/>
      <c r="B52" s="608"/>
      <c r="C52" s="372">
        <v>0.18</v>
      </c>
      <c r="D52" s="37">
        <v>0.26700000000000002</v>
      </c>
      <c r="E52" s="1185"/>
      <c r="F52" s="714"/>
      <c r="G52" s="714"/>
      <c r="H52" s="13"/>
      <c r="I52" s="13"/>
      <c r="J52" s="13"/>
      <c r="K52" s="13"/>
      <c r="L52" s="13"/>
      <c r="M52" s="14"/>
      <c r="N52" s="13"/>
      <c r="O52" s="13"/>
      <c r="P52" s="13"/>
      <c r="Q52" s="13"/>
      <c r="R52" s="14">
        <v>70170010707</v>
      </c>
      <c r="S52" s="728"/>
      <c r="T52" s="724"/>
      <c r="U52" s="494"/>
    </row>
    <row r="53" spans="1:21" s="76" customFormat="1" x14ac:dyDescent="0.3">
      <c r="A53" s="605"/>
      <c r="B53" s="608"/>
      <c r="C53" s="37">
        <v>0.26700000000000002</v>
      </c>
      <c r="D53" s="37">
        <v>0.46500000000000002</v>
      </c>
      <c r="E53" s="1185"/>
      <c r="F53" s="714"/>
      <c r="G53" s="714"/>
      <c r="H53" s="13"/>
      <c r="I53" s="13"/>
      <c r="J53" s="13"/>
      <c r="K53" s="13"/>
      <c r="L53" s="13"/>
      <c r="M53" s="14"/>
      <c r="N53" s="13"/>
      <c r="O53" s="13"/>
      <c r="P53" s="13"/>
      <c r="Q53" s="13"/>
      <c r="R53" s="14">
        <v>70170010706</v>
      </c>
      <c r="S53" s="728"/>
      <c r="T53" s="724"/>
      <c r="U53" s="494"/>
    </row>
    <row r="54" spans="1:21" s="76" customFormat="1" ht="15" thickBot="1" x14ac:dyDescent="0.35">
      <c r="A54" s="606"/>
      <c r="B54" s="609"/>
      <c r="C54" s="38">
        <v>0.46500000000000002</v>
      </c>
      <c r="D54" s="38">
        <v>1.232</v>
      </c>
      <c r="E54" s="1119"/>
      <c r="F54" s="663"/>
      <c r="G54" s="663"/>
      <c r="H54" s="19"/>
      <c r="I54" s="19"/>
      <c r="J54" s="19"/>
      <c r="K54" s="19"/>
      <c r="L54" s="19"/>
      <c r="M54" s="20"/>
      <c r="N54" s="19"/>
      <c r="O54" s="19"/>
      <c r="P54" s="19"/>
      <c r="Q54" s="19"/>
      <c r="R54" s="20">
        <v>70170010676</v>
      </c>
      <c r="S54" s="729"/>
      <c r="T54" s="665"/>
      <c r="U54" s="494"/>
    </row>
    <row r="55" spans="1:21" s="76" customFormat="1" ht="24.6" thickBot="1" x14ac:dyDescent="0.35">
      <c r="A55" s="22" t="s">
        <v>3801</v>
      </c>
      <c r="B55" s="23" t="s">
        <v>3802</v>
      </c>
      <c r="C55" s="39">
        <v>0</v>
      </c>
      <c r="D55" s="39">
        <v>1.8859999999999999</v>
      </c>
      <c r="E55" s="39">
        <v>1.8859999999999999</v>
      </c>
      <c r="F55" s="3">
        <v>11314</v>
      </c>
      <c r="G55" s="3" t="s">
        <v>3492</v>
      </c>
      <c r="H55" s="27"/>
      <c r="I55" s="27"/>
      <c r="J55" s="27"/>
      <c r="K55" s="27"/>
      <c r="L55" s="27"/>
      <c r="M55" s="3"/>
      <c r="N55" s="27"/>
      <c r="O55" s="27"/>
      <c r="P55" s="27">
        <v>27503</v>
      </c>
      <c r="Q55" s="27"/>
      <c r="R55" s="3">
        <v>70170010677</v>
      </c>
      <c r="S55" s="27" t="s">
        <v>3762</v>
      </c>
      <c r="T55" s="5" t="s">
        <v>31</v>
      </c>
      <c r="U55" s="492"/>
    </row>
    <row r="56" spans="1:21" s="76" customFormat="1" ht="24" x14ac:dyDescent="0.3">
      <c r="A56" s="666" t="s">
        <v>3803</v>
      </c>
      <c r="B56" s="651" t="s">
        <v>399</v>
      </c>
      <c r="C56" s="36">
        <v>0</v>
      </c>
      <c r="D56" s="36">
        <v>0.33400000000000002</v>
      </c>
      <c r="E56" s="1118">
        <v>0.68200000000000005</v>
      </c>
      <c r="F56" s="33">
        <v>2007</v>
      </c>
      <c r="G56" s="33" t="s">
        <v>3492</v>
      </c>
      <c r="H56" s="34"/>
      <c r="I56" s="34"/>
      <c r="J56" s="34"/>
      <c r="K56" s="34"/>
      <c r="L56" s="34"/>
      <c r="M56" s="33"/>
      <c r="N56" s="34"/>
      <c r="O56" s="34"/>
      <c r="P56" s="34"/>
      <c r="Q56" s="34"/>
      <c r="R56" s="33">
        <v>70170010678</v>
      </c>
      <c r="S56" s="727" t="s">
        <v>3762</v>
      </c>
      <c r="T56" s="664" t="s">
        <v>31</v>
      </c>
      <c r="U56" s="494"/>
    </row>
    <row r="57" spans="1:21" s="76" customFormat="1" x14ac:dyDescent="0.3">
      <c r="A57" s="748"/>
      <c r="B57" s="711"/>
      <c r="C57" s="372">
        <v>0.33400000000000002</v>
      </c>
      <c r="D57" s="37">
        <v>0.48699999999999999</v>
      </c>
      <c r="E57" s="1185"/>
      <c r="F57" s="731">
        <v>2087</v>
      </c>
      <c r="G57" s="731" t="s">
        <v>32</v>
      </c>
      <c r="H57" s="13"/>
      <c r="I57" s="13"/>
      <c r="J57" s="13"/>
      <c r="K57" s="13"/>
      <c r="L57" s="13"/>
      <c r="M57" s="14"/>
      <c r="N57" s="13"/>
      <c r="O57" s="13"/>
      <c r="P57" s="13"/>
      <c r="Q57" s="13"/>
      <c r="R57" s="14">
        <v>70170010715</v>
      </c>
      <c r="S57" s="728"/>
      <c r="T57" s="724"/>
      <c r="U57" s="494"/>
    </row>
    <row r="58" spans="1:21" s="76" customFormat="1" ht="15" thickBot="1" x14ac:dyDescent="0.35">
      <c r="A58" s="667"/>
      <c r="B58" s="652"/>
      <c r="C58" s="38">
        <v>0.48699999999999999</v>
      </c>
      <c r="D58" s="38">
        <v>0.68200000000000005</v>
      </c>
      <c r="E58" s="1119"/>
      <c r="F58" s="663"/>
      <c r="G58" s="663"/>
      <c r="H58" s="19"/>
      <c r="I58" s="19"/>
      <c r="J58" s="19"/>
      <c r="K58" s="19"/>
      <c r="L58" s="19"/>
      <c r="M58" s="20"/>
      <c r="N58" s="19"/>
      <c r="O58" s="19"/>
      <c r="P58" s="19"/>
      <c r="Q58" s="19"/>
      <c r="R58" s="20" t="s">
        <v>3804</v>
      </c>
      <c r="S58" s="729"/>
      <c r="T58" s="665"/>
      <c r="U58" s="464"/>
    </row>
    <row r="59" spans="1:21" s="76" customFormat="1" x14ac:dyDescent="0.3">
      <c r="A59" s="604" t="s">
        <v>3805</v>
      </c>
      <c r="B59" s="607" t="s">
        <v>36</v>
      </c>
      <c r="C59" s="36">
        <v>0</v>
      </c>
      <c r="D59" s="36">
        <v>0.13</v>
      </c>
      <c r="E59" s="1118">
        <v>0.505</v>
      </c>
      <c r="F59" s="662">
        <v>3031</v>
      </c>
      <c r="G59" s="662" t="s">
        <v>3492</v>
      </c>
      <c r="H59" s="34"/>
      <c r="I59" s="34"/>
      <c r="J59" s="34"/>
      <c r="K59" s="34"/>
      <c r="L59" s="34"/>
      <c r="M59" s="33"/>
      <c r="N59" s="34"/>
      <c r="O59" s="34"/>
      <c r="P59" s="34"/>
      <c r="Q59" s="34"/>
      <c r="R59" s="33">
        <v>70170010679</v>
      </c>
      <c r="S59" s="727" t="s">
        <v>3762</v>
      </c>
      <c r="T59" s="664" t="s">
        <v>31</v>
      </c>
      <c r="U59" s="494"/>
    </row>
    <row r="60" spans="1:21" s="76" customFormat="1" x14ac:dyDescent="0.3">
      <c r="A60" s="605"/>
      <c r="B60" s="608"/>
      <c r="C60" s="372">
        <v>0.13</v>
      </c>
      <c r="D60" s="37">
        <v>0.313</v>
      </c>
      <c r="E60" s="1185"/>
      <c r="F60" s="714"/>
      <c r="G60" s="714"/>
      <c r="H60" s="13"/>
      <c r="I60" s="13"/>
      <c r="J60" s="13"/>
      <c r="K60" s="13"/>
      <c r="L60" s="13"/>
      <c r="M60" s="14"/>
      <c r="N60" s="13"/>
      <c r="O60" s="13"/>
      <c r="P60" s="13"/>
      <c r="Q60" s="13"/>
      <c r="R60" s="14">
        <v>70170010701</v>
      </c>
      <c r="S60" s="728"/>
      <c r="T60" s="724"/>
      <c r="U60" s="494"/>
    </row>
    <row r="61" spans="1:21" s="76" customFormat="1" ht="15" thickBot="1" x14ac:dyDescent="0.35">
      <c r="A61" s="606"/>
      <c r="B61" s="609"/>
      <c r="C61" s="38">
        <v>0.313</v>
      </c>
      <c r="D61" s="38">
        <v>0.192</v>
      </c>
      <c r="E61" s="1119"/>
      <c r="F61" s="663"/>
      <c r="G61" s="663"/>
      <c r="H61" s="19"/>
      <c r="I61" s="19"/>
      <c r="J61" s="19"/>
      <c r="K61" s="19"/>
      <c r="L61" s="19"/>
      <c r="M61" s="20"/>
      <c r="N61" s="19"/>
      <c r="O61" s="19"/>
      <c r="P61" s="19"/>
      <c r="Q61" s="19"/>
      <c r="R61" s="20">
        <v>70170010702</v>
      </c>
      <c r="S61" s="729"/>
      <c r="T61" s="665"/>
      <c r="U61" s="494"/>
    </row>
    <row r="62" spans="1:21" s="76" customFormat="1" ht="24.6" thickBot="1" x14ac:dyDescent="0.35">
      <c r="A62" s="22" t="s">
        <v>3806</v>
      </c>
      <c r="B62" s="23" t="s">
        <v>2470</v>
      </c>
      <c r="C62" s="39">
        <v>0</v>
      </c>
      <c r="D62" s="39">
        <v>0.20499999999999999</v>
      </c>
      <c r="E62" s="39">
        <v>0.20499999999999999</v>
      </c>
      <c r="F62" s="3">
        <v>1229</v>
      </c>
      <c r="G62" s="3" t="s">
        <v>32</v>
      </c>
      <c r="H62" s="27"/>
      <c r="I62" s="27"/>
      <c r="J62" s="27"/>
      <c r="K62" s="27"/>
      <c r="L62" s="27"/>
      <c r="M62" s="3"/>
      <c r="N62" s="27"/>
      <c r="O62" s="27"/>
      <c r="P62" s="27"/>
      <c r="Q62" s="27"/>
      <c r="R62" s="3">
        <v>70170010680</v>
      </c>
      <c r="S62" s="27" t="s">
        <v>3762</v>
      </c>
      <c r="T62" s="5" t="s">
        <v>31</v>
      </c>
      <c r="U62" s="492"/>
    </row>
    <row r="63" spans="1:21" s="76" customFormat="1" ht="24.6" thickBot="1" x14ac:dyDescent="0.35">
      <c r="A63" s="22" t="s">
        <v>3807</v>
      </c>
      <c r="B63" s="23" t="s">
        <v>3808</v>
      </c>
      <c r="C63" s="39">
        <v>0</v>
      </c>
      <c r="D63" s="39">
        <v>0.44400000000000001</v>
      </c>
      <c r="E63" s="39">
        <v>0.44400000000000001</v>
      </c>
      <c r="F63" s="3">
        <v>2663</v>
      </c>
      <c r="G63" s="3" t="s">
        <v>32</v>
      </c>
      <c r="H63" s="27"/>
      <c r="I63" s="27"/>
      <c r="J63" s="27"/>
      <c r="K63" s="27"/>
      <c r="L63" s="27"/>
      <c r="M63" s="3"/>
      <c r="N63" s="27"/>
      <c r="O63" s="27"/>
      <c r="P63" s="27"/>
      <c r="Q63" s="27"/>
      <c r="R63" s="3">
        <v>70170020028</v>
      </c>
      <c r="S63" s="27" t="s">
        <v>3762</v>
      </c>
      <c r="T63" s="5" t="s">
        <v>31</v>
      </c>
      <c r="U63" s="492"/>
    </row>
    <row r="64" spans="1:21" s="76" customFormat="1" x14ac:dyDescent="0.3">
      <c r="A64" s="666" t="s">
        <v>3809</v>
      </c>
      <c r="B64" s="651" t="s">
        <v>2478</v>
      </c>
      <c r="C64" s="36">
        <v>0</v>
      </c>
      <c r="D64" s="36">
        <v>0.2</v>
      </c>
      <c r="E64" s="1118">
        <v>0.59799999999999998</v>
      </c>
      <c r="F64" s="662">
        <v>3587</v>
      </c>
      <c r="G64" s="662" t="s">
        <v>3492</v>
      </c>
      <c r="H64" s="34"/>
      <c r="I64" s="34"/>
      <c r="J64" s="34"/>
      <c r="K64" s="34"/>
      <c r="L64" s="34"/>
      <c r="M64" s="33"/>
      <c r="N64" s="34"/>
      <c r="O64" s="34"/>
      <c r="P64" s="34"/>
      <c r="Q64" s="34"/>
      <c r="R64" s="33">
        <v>70170010705</v>
      </c>
      <c r="S64" s="727" t="s">
        <v>3762</v>
      </c>
      <c r="T64" s="664" t="s">
        <v>31</v>
      </c>
      <c r="U64" s="494"/>
    </row>
    <row r="65" spans="1:32" s="76" customFormat="1" x14ac:dyDescent="0.3">
      <c r="A65" s="748"/>
      <c r="B65" s="711"/>
      <c r="C65" s="372">
        <v>0.2</v>
      </c>
      <c r="D65" s="37">
        <v>0.36499999999999999</v>
      </c>
      <c r="E65" s="1185"/>
      <c r="F65" s="714"/>
      <c r="G65" s="714"/>
      <c r="H65" s="13"/>
      <c r="I65" s="13"/>
      <c r="J65" s="13"/>
      <c r="K65" s="13"/>
      <c r="L65" s="13"/>
      <c r="M65" s="14"/>
      <c r="N65" s="13"/>
      <c r="O65" s="13"/>
      <c r="P65" s="13"/>
      <c r="Q65" s="13"/>
      <c r="R65" s="14">
        <v>70170010681</v>
      </c>
      <c r="S65" s="728"/>
      <c r="T65" s="724"/>
      <c r="U65" s="494"/>
    </row>
    <row r="66" spans="1:32" s="76" customFormat="1" x14ac:dyDescent="0.3">
      <c r="A66" s="748"/>
      <c r="B66" s="711"/>
      <c r="C66" s="37">
        <v>0.36499999999999999</v>
      </c>
      <c r="D66" s="37">
        <v>0.50600000000000001</v>
      </c>
      <c r="E66" s="1185"/>
      <c r="F66" s="714"/>
      <c r="G66" s="714"/>
      <c r="H66" s="13"/>
      <c r="I66" s="13"/>
      <c r="J66" s="13"/>
      <c r="K66" s="13"/>
      <c r="L66" s="13"/>
      <c r="M66" s="14"/>
      <c r="N66" s="13"/>
      <c r="O66" s="13"/>
      <c r="P66" s="13"/>
      <c r="Q66" s="13"/>
      <c r="R66" s="14">
        <v>70170010704</v>
      </c>
      <c r="S66" s="728"/>
      <c r="T66" s="724"/>
      <c r="U66" s="494"/>
    </row>
    <row r="67" spans="1:32" s="76" customFormat="1" ht="15" thickBot="1" x14ac:dyDescent="0.35">
      <c r="A67" s="667"/>
      <c r="B67" s="652"/>
      <c r="C67" s="38">
        <v>0.50600000000000001</v>
      </c>
      <c r="D67" s="38">
        <v>0.59799999999999998</v>
      </c>
      <c r="E67" s="1119"/>
      <c r="F67" s="663"/>
      <c r="G67" s="663"/>
      <c r="H67" s="19"/>
      <c r="I67" s="19"/>
      <c r="J67" s="19"/>
      <c r="K67" s="19"/>
      <c r="L67" s="19"/>
      <c r="M67" s="20"/>
      <c r="N67" s="19"/>
      <c r="O67" s="19"/>
      <c r="P67" s="19"/>
      <c r="Q67" s="19"/>
      <c r="R67" s="20">
        <v>70170010703</v>
      </c>
      <c r="S67" s="729"/>
      <c r="T67" s="665"/>
      <c r="U67" s="494"/>
    </row>
    <row r="68" spans="1:32" s="76" customFormat="1" ht="24.6" thickBot="1" x14ac:dyDescent="0.35">
      <c r="A68" s="22" t="s">
        <v>3810</v>
      </c>
      <c r="B68" s="23" t="s">
        <v>952</v>
      </c>
      <c r="C68" s="39">
        <v>0</v>
      </c>
      <c r="D68" s="39">
        <v>0.57499999999999996</v>
      </c>
      <c r="E68" s="39">
        <v>0.57499999999999996</v>
      </c>
      <c r="F68" s="3">
        <v>3449</v>
      </c>
      <c r="G68" s="3" t="s">
        <v>3492</v>
      </c>
      <c r="H68" s="27"/>
      <c r="I68" s="27"/>
      <c r="J68" s="27"/>
      <c r="K68" s="27"/>
      <c r="L68" s="27"/>
      <c r="M68" s="3"/>
      <c r="N68" s="27"/>
      <c r="O68" s="27"/>
      <c r="P68" s="27"/>
      <c r="Q68" s="27"/>
      <c r="R68" s="3">
        <v>70170010682</v>
      </c>
      <c r="S68" s="27" t="s">
        <v>3762</v>
      </c>
      <c r="T68" s="5" t="s">
        <v>31</v>
      </c>
      <c r="U68" s="492"/>
    </row>
    <row r="69" spans="1:32" s="76" customFormat="1" ht="24.6" thickBot="1" x14ac:dyDescent="0.35">
      <c r="A69" s="22" t="s">
        <v>3811</v>
      </c>
      <c r="B69" s="23" t="s">
        <v>2480</v>
      </c>
      <c r="C69" s="39">
        <v>0</v>
      </c>
      <c r="D69" s="39">
        <v>0.89500000000000002</v>
      </c>
      <c r="E69" s="39">
        <v>0.89500000000000002</v>
      </c>
      <c r="F69" s="3">
        <v>5373</v>
      </c>
      <c r="G69" s="3" t="s">
        <v>3492</v>
      </c>
      <c r="H69" s="27"/>
      <c r="I69" s="27"/>
      <c r="J69" s="27"/>
      <c r="K69" s="27"/>
      <c r="L69" s="27"/>
      <c r="M69" s="3"/>
      <c r="N69" s="27"/>
      <c r="O69" s="27"/>
      <c r="P69" s="27"/>
      <c r="Q69" s="27"/>
      <c r="R69" s="3">
        <v>70170010683</v>
      </c>
      <c r="S69" s="27" t="s">
        <v>3762</v>
      </c>
      <c r="T69" s="5" t="s">
        <v>31</v>
      </c>
      <c r="U69" s="492"/>
    </row>
    <row r="71" spans="1:32" s="59" customFormat="1" ht="13.8" x14ac:dyDescent="0.25">
      <c r="I71" s="389"/>
      <c r="R71" s="312"/>
      <c r="T71" s="60"/>
      <c r="U71" s="462"/>
    </row>
    <row r="72" spans="1:32" s="59" customFormat="1" ht="36" x14ac:dyDescent="0.25">
      <c r="B72" s="61" t="s">
        <v>202</v>
      </c>
      <c r="I72" s="389"/>
      <c r="R72" s="312"/>
      <c r="T72" s="60"/>
      <c r="U72" s="462"/>
    </row>
    <row r="73" spans="1:32" s="59" customFormat="1" ht="24" x14ac:dyDescent="0.25">
      <c r="B73" s="61" t="s">
        <v>203</v>
      </c>
      <c r="I73" s="389"/>
      <c r="R73" s="312"/>
      <c r="T73" s="60"/>
      <c r="U73" s="462"/>
    </row>
    <row r="74" spans="1:32" s="59" customFormat="1" ht="24" x14ac:dyDescent="0.25">
      <c r="B74" s="61" t="s">
        <v>204</v>
      </c>
      <c r="I74" s="389"/>
      <c r="R74" s="312"/>
      <c r="T74" s="60"/>
      <c r="U74" s="462"/>
    </row>
    <row r="75" spans="1:32" s="59" customFormat="1" ht="24" x14ac:dyDescent="0.25">
      <c r="B75" s="61" t="s">
        <v>205</v>
      </c>
      <c r="I75" s="389"/>
      <c r="R75" s="312"/>
      <c r="T75" s="60"/>
    </row>
    <row r="76" spans="1:32" s="59" customFormat="1" ht="13.8" x14ac:dyDescent="0.25">
      <c r="R76" s="312"/>
      <c r="T76" s="60"/>
    </row>
    <row r="77" spans="1:32" s="59" customFormat="1" ht="27.6" customHeight="1" x14ac:dyDescent="0.25">
      <c r="A77" s="509"/>
      <c r="B77" s="509"/>
      <c r="C77" s="512" t="s">
        <v>3985</v>
      </c>
      <c r="D77" s="543" t="s">
        <v>3986</v>
      </c>
      <c r="E77" s="543"/>
      <c r="F77" s="543"/>
      <c r="G77" s="509"/>
      <c r="H77" s="509"/>
      <c r="I77" s="509"/>
      <c r="J77" s="509"/>
      <c r="K77" s="509"/>
      <c r="L77" s="509"/>
      <c r="M77" s="509"/>
      <c r="N77" s="509"/>
      <c r="O77" s="509"/>
      <c r="P77" s="509"/>
      <c r="Q77" s="509"/>
      <c r="R77" s="509"/>
      <c r="S77" s="509"/>
      <c r="T77" s="509"/>
      <c r="U77" s="509"/>
      <c r="V77" s="509"/>
      <c r="W77" s="509"/>
      <c r="X77" s="509"/>
      <c r="Y77" s="509"/>
      <c r="Z77" s="509"/>
      <c r="AA77" s="509"/>
      <c r="AB77" s="509"/>
      <c r="AC77" s="509"/>
      <c r="AD77" s="509"/>
      <c r="AE77" s="510"/>
      <c r="AF77" s="510"/>
    </row>
    <row r="78" spans="1:32" s="59" customFormat="1" ht="13.8" x14ac:dyDescent="0.25">
      <c r="A78" s="509"/>
      <c r="B78" s="509"/>
      <c r="C78" s="509"/>
      <c r="D78" s="509"/>
      <c r="E78" s="509"/>
      <c r="F78" s="509"/>
      <c r="G78" s="509"/>
      <c r="H78" s="509"/>
      <c r="I78" s="509"/>
      <c r="J78" s="509"/>
      <c r="K78" s="509"/>
      <c r="L78" s="509"/>
      <c r="M78" s="509"/>
      <c r="N78" s="509"/>
      <c r="O78" s="509"/>
      <c r="P78" s="509"/>
      <c r="Q78" s="509"/>
      <c r="R78" s="509"/>
      <c r="S78" s="509"/>
      <c r="T78" s="509"/>
      <c r="U78" s="509"/>
      <c r="V78" s="509"/>
      <c r="W78" s="509"/>
      <c r="X78" s="509"/>
      <c r="Y78" s="509"/>
      <c r="Z78" s="509"/>
      <c r="AA78" s="509"/>
      <c r="AB78" s="509"/>
      <c r="AC78" s="509"/>
      <c r="AD78" s="509"/>
      <c r="AE78" s="510"/>
      <c r="AF78" s="510"/>
    </row>
    <row r="79" spans="1:32" s="59" customFormat="1" ht="13.8" x14ac:dyDescent="0.25">
      <c r="A79" s="509"/>
      <c r="B79" s="509"/>
      <c r="C79" s="509"/>
      <c r="D79" s="509"/>
      <c r="E79" s="509"/>
      <c r="F79" s="509"/>
      <c r="G79" s="509"/>
      <c r="H79" s="509"/>
      <c r="I79" s="509"/>
      <c r="J79" s="509"/>
      <c r="K79" s="509"/>
      <c r="L79" s="509"/>
      <c r="M79" s="509"/>
      <c r="N79" s="509"/>
      <c r="O79" s="509"/>
      <c r="P79" s="509"/>
      <c r="Q79" s="509"/>
      <c r="R79" s="509"/>
      <c r="S79" s="509"/>
      <c r="T79" s="509"/>
      <c r="U79" s="509"/>
      <c r="V79" s="509"/>
      <c r="W79" s="509"/>
      <c r="X79" s="509"/>
      <c r="Y79" s="509"/>
      <c r="Z79" s="509"/>
      <c r="AA79" s="509"/>
      <c r="AB79" s="509"/>
      <c r="AC79" s="509"/>
      <c r="AD79" s="509"/>
      <c r="AE79" s="417"/>
      <c r="AF79" s="510"/>
    </row>
    <row r="80" spans="1:32" s="59" customFormat="1" ht="13.8" x14ac:dyDescent="0.25">
      <c r="B80" s="60"/>
      <c r="C80" s="438" t="s">
        <v>3989</v>
      </c>
      <c r="D80" s="544" t="s">
        <v>3990</v>
      </c>
      <c r="E80" s="544"/>
      <c r="F80" s="544"/>
      <c r="G80" s="544"/>
      <c r="H80" s="544"/>
      <c r="I80" s="544"/>
      <c r="T80" s="60"/>
      <c r="U80" s="60"/>
    </row>
    <row r="81" spans="1:21" s="59" customFormat="1" ht="13.95" customHeight="1" x14ac:dyDescent="0.25">
      <c r="B81" s="60"/>
      <c r="C81" s="438" t="s">
        <v>3987</v>
      </c>
      <c r="D81" s="553" t="s">
        <v>3988</v>
      </c>
      <c r="E81" s="553"/>
      <c r="F81" s="553"/>
      <c r="G81" s="553"/>
      <c r="H81" s="553"/>
      <c r="I81" s="553"/>
      <c r="T81" s="60"/>
      <c r="U81" s="60"/>
    </row>
    <row r="82" spans="1:21" s="59" customFormat="1" ht="14.4" customHeight="1" x14ac:dyDescent="0.25">
      <c r="T82" s="60"/>
      <c r="U82" s="60"/>
    </row>
    <row r="83" spans="1:21" s="59" customFormat="1" ht="13.8" x14ac:dyDescent="0.25">
      <c r="A83" s="469"/>
      <c r="B83" s="743" t="s">
        <v>3984</v>
      </c>
      <c r="C83" s="743"/>
      <c r="D83" s="743"/>
      <c r="E83" s="743"/>
      <c r="F83" s="743"/>
      <c r="G83" s="743"/>
      <c r="H83" s="743"/>
      <c r="I83" s="743"/>
      <c r="T83" s="304"/>
      <c r="U83" s="304"/>
    </row>
  </sheetData>
  <mergeCells count="125">
    <mergeCell ref="D77:F77"/>
    <mergeCell ref="D80:I80"/>
    <mergeCell ref="D81:I81"/>
    <mergeCell ref="B83:I83"/>
    <mergeCell ref="A56:A58"/>
    <mergeCell ref="B56:B58"/>
    <mergeCell ref="E56:E58"/>
    <mergeCell ref="S56:S58"/>
    <mergeCell ref="T56:T58"/>
    <mergeCell ref="F57:F58"/>
    <mergeCell ref="G57:G58"/>
    <mergeCell ref="T59:T61"/>
    <mergeCell ref="A64:A67"/>
    <mergeCell ref="B64:B67"/>
    <mergeCell ref="E64:E67"/>
    <mergeCell ref="F64:F67"/>
    <mergeCell ref="G64:G67"/>
    <mergeCell ref="S64:S67"/>
    <mergeCell ref="T64:T67"/>
    <mergeCell ref="A59:A61"/>
    <mergeCell ref="B59:B61"/>
    <mergeCell ref="E59:E61"/>
    <mergeCell ref="F59:F61"/>
    <mergeCell ref="G59:G61"/>
    <mergeCell ref="S59:S61"/>
    <mergeCell ref="A49:A50"/>
    <mergeCell ref="B49:B50"/>
    <mergeCell ref="E49:E50"/>
    <mergeCell ref="S49:S50"/>
    <mergeCell ref="T49:T50"/>
    <mergeCell ref="A51:A54"/>
    <mergeCell ref="B51:B54"/>
    <mergeCell ref="E51:E54"/>
    <mergeCell ref="F51:F54"/>
    <mergeCell ref="G51:G54"/>
    <mergeCell ref="S51:S54"/>
    <mergeCell ref="T51:T54"/>
    <mergeCell ref="S37:S38"/>
    <mergeCell ref="T37:T38"/>
    <mergeCell ref="A45:A46"/>
    <mergeCell ref="B45:B46"/>
    <mergeCell ref="E45:E46"/>
    <mergeCell ref="S45:S46"/>
    <mergeCell ref="T45:T46"/>
    <mergeCell ref="A30:A33"/>
    <mergeCell ref="B30:B33"/>
    <mergeCell ref="E30:E33"/>
    <mergeCell ref="S30:S33"/>
    <mergeCell ref="T30:T33"/>
    <mergeCell ref="A37:A38"/>
    <mergeCell ref="B37:B38"/>
    <mergeCell ref="E37:E38"/>
    <mergeCell ref="F37:F38"/>
    <mergeCell ref="G37:G38"/>
    <mergeCell ref="T25:T26"/>
    <mergeCell ref="A27:A29"/>
    <mergeCell ref="B27:B29"/>
    <mergeCell ref="E27:E29"/>
    <mergeCell ref="S27:S29"/>
    <mergeCell ref="T27:T29"/>
    <mergeCell ref="A25:A26"/>
    <mergeCell ref="B25:B26"/>
    <mergeCell ref="E25:E26"/>
    <mergeCell ref="F25:F26"/>
    <mergeCell ref="G25:G26"/>
    <mergeCell ref="S25:S26"/>
    <mergeCell ref="T19:T22"/>
    <mergeCell ref="A23:A24"/>
    <mergeCell ref="B23:B24"/>
    <mergeCell ref="E23:E24"/>
    <mergeCell ref="S23:S24"/>
    <mergeCell ref="T23:T24"/>
    <mergeCell ref="A19:A22"/>
    <mergeCell ref="B19:B22"/>
    <mergeCell ref="E19:E22"/>
    <mergeCell ref="F19:F22"/>
    <mergeCell ref="G19:G22"/>
    <mergeCell ref="S19:S22"/>
    <mergeCell ref="A12:A15"/>
    <mergeCell ref="B12:B15"/>
    <mergeCell ref="E12:E15"/>
    <mergeCell ref="S12:S15"/>
    <mergeCell ref="T12:T15"/>
    <mergeCell ref="A17:A18"/>
    <mergeCell ref="B17:B18"/>
    <mergeCell ref="E17:E18"/>
    <mergeCell ref="S17:S18"/>
    <mergeCell ref="T17:T18"/>
    <mergeCell ref="S7:S8"/>
    <mergeCell ref="T7:T8"/>
    <mergeCell ref="A10:A11"/>
    <mergeCell ref="B10:B11"/>
    <mergeCell ref="E10:E11"/>
    <mergeCell ref="S10:S11"/>
    <mergeCell ref="T10:T11"/>
    <mergeCell ref="N4:N5"/>
    <mergeCell ref="O4:O5"/>
    <mergeCell ref="P4:P5"/>
    <mergeCell ref="Q4:Q5"/>
    <mergeCell ref="R4:R5"/>
    <mergeCell ref="A7:A8"/>
    <mergeCell ref="B7:B8"/>
    <mergeCell ref="E7:E8"/>
    <mergeCell ref="F7:F8"/>
    <mergeCell ref="G7:G8"/>
    <mergeCell ref="T2:T5"/>
    <mergeCell ref="A2:A5"/>
    <mergeCell ref="B2:B5"/>
    <mergeCell ref="A1:U1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C2:Q2"/>
    <mergeCell ref="R2:R3"/>
    <mergeCell ref="S2:S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6B502-D638-4905-B7CD-AC6679CBB6E3}">
  <dimension ref="A1:AF145"/>
  <sheetViews>
    <sheetView workbookViewId="0">
      <selection activeCell="W5" sqref="W5"/>
    </sheetView>
  </sheetViews>
  <sheetFormatPr defaultRowHeight="14.4" x14ac:dyDescent="0.3"/>
  <cols>
    <col min="1" max="1" width="21" customWidth="1"/>
    <col min="2" max="2" width="33.33203125" customWidth="1"/>
    <col min="3" max="3" width="11.33203125" customWidth="1"/>
    <col min="5" max="5" width="12.6640625" customWidth="1"/>
    <col min="7" max="7" width="13.44140625" customWidth="1"/>
    <col min="8" max="8" width="12.6640625" bestFit="1" customWidth="1"/>
    <col min="9" max="9" width="14" customWidth="1"/>
    <col min="10" max="10" width="11.33203125" customWidth="1"/>
    <col min="12" max="12" width="10.109375" customWidth="1"/>
    <col min="13" max="13" width="11.88671875" customWidth="1"/>
    <col min="14" max="14" width="12.109375" customWidth="1"/>
    <col min="15" max="15" width="12.33203125" customWidth="1"/>
    <col min="16" max="16" width="11.5546875" customWidth="1"/>
    <col min="17" max="17" width="13.6640625" customWidth="1"/>
    <col min="18" max="18" width="17.6640625" customWidth="1"/>
    <col min="19" max="19" width="18.44140625" customWidth="1"/>
    <col min="20" max="20" width="46" customWidth="1"/>
    <col min="21" max="21" width="27.6640625" customWidth="1"/>
  </cols>
  <sheetData>
    <row r="1" spans="1:21" ht="18.600000000000001" customHeight="1" thickBot="1" x14ac:dyDescent="0.35">
      <c r="A1" s="1186" t="s">
        <v>3812</v>
      </c>
      <c r="B1" s="1186"/>
      <c r="C1" s="1186"/>
      <c r="D1" s="1186"/>
      <c r="E1" s="1186"/>
      <c r="F1" s="1186"/>
      <c r="G1" s="1186"/>
      <c r="H1" s="1186"/>
      <c r="I1" s="1186"/>
      <c r="J1" s="1186"/>
      <c r="K1" s="1186"/>
      <c r="L1" s="1186"/>
      <c r="M1" s="1186"/>
      <c r="N1" s="1186"/>
      <c r="O1" s="1186"/>
      <c r="P1" s="1186"/>
      <c r="Q1" s="1186"/>
      <c r="R1" s="1186"/>
      <c r="S1" s="1186"/>
      <c r="T1" s="1186"/>
      <c r="U1" s="1186"/>
    </row>
    <row r="2" spans="1:21" ht="15" thickBot="1" x14ac:dyDescent="0.35">
      <c r="A2" s="954" t="s">
        <v>3813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207</v>
      </c>
    </row>
    <row r="3" spans="1:21" ht="15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ht="15" thickBot="1" x14ac:dyDescent="0.35">
      <c r="A4" s="955"/>
      <c r="B4" s="593"/>
      <c r="C4" s="625" t="s">
        <v>11</v>
      </c>
      <c r="D4" s="629"/>
      <c r="E4" s="603" t="s">
        <v>12</v>
      </c>
      <c r="F4" s="603" t="s">
        <v>3814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ht="87.6" customHeight="1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ht="15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x14ac:dyDescent="0.3">
      <c r="A7" s="959" t="s">
        <v>3815</v>
      </c>
      <c r="B7" s="618" t="s">
        <v>3816</v>
      </c>
      <c r="C7" s="998">
        <v>0</v>
      </c>
      <c r="D7" s="998">
        <v>0.33200000000000002</v>
      </c>
      <c r="E7" s="998">
        <v>0.37</v>
      </c>
      <c r="F7" s="632">
        <v>1685</v>
      </c>
      <c r="G7" s="632" t="s">
        <v>51</v>
      </c>
      <c r="H7" s="1088"/>
      <c r="I7" s="632"/>
      <c r="J7" s="632"/>
      <c r="K7" s="632"/>
      <c r="L7" s="632"/>
      <c r="M7" s="632"/>
      <c r="N7" s="632"/>
      <c r="O7" s="632"/>
      <c r="P7" s="632"/>
      <c r="Q7" s="632"/>
      <c r="R7" s="632">
        <v>70960070248</v>
      </c>
      <c r="S7" s="632" t="s">
        <v>3817</v>
      </c>
      <c r="T7" s="632" t="s">
        <v>2485</v>
      </c>
      <c r="U7" s="635"/>
    </row>
    <row r="8" spans="1:21" x14ac:dyDescent="0.3">
      <c r="A8" s="690"/>
      <c r="B8" s="608"/>
      <c r="C8" s="654"/>
      <c r="D8" s="654"/>
      <c r="E8" s="654"/>
      <c r="F8" s="633"/>
      <c r="G8" s="633"/>
      <c r="H8" s="653"/>
      <c r="I8" s="633"/>
      <c r="J8" s="633"/>
      <c r="K8" s="633"/>
      <c r="L8" s="633"/>
      <c r="M8" s="633"/>
      <c r="N8" s="633"/>
      <c r="O8" s="633"/>
      <c r="P8" s="633"/>
      <c r="Q8" s="633"/>
      <c r="R8" s="633"/>
      <c r="S8" s="633"/>
      <c r="T8" s="633"/>
      <c r="U8" s="636"/>
    </row>
    <row r="9" spans="1:21" ht="15" thickBot="1" x14ac:dyDescent="0.35">
      <c r="A9" s="689"/>
      <c r="B9" s="609"/>
      <c r="C9" s="46">
        <v>0.33200000000000002</v>
      </c>
      <c r="D9" s="46">
        <v>0.37</v>
      </c>
      <c r="E9" s="646"/>
      <c r="F9" s="20">
        <v>200</v>
      </c>
      <c r="G9" s="20" t="s">
        <v>32</v>
      </c>
      <c r="H9" s="650"/>
      <c r="I9" s="634"/>
      <c r="J9" s="634"/>
      <c r="K9" s="634"/>
      <c r="L9" s="634"/>
      <c r="M9" s="634"/>
      <c r="N9" s="634"/>
      <c r="O9" s="634"/>
      <c r="P9" s="634"/>
      <c r="Q9" s="634"/>
      <c r="R9" s="634"/>
      <c r="S9" s="634"/>
      <c r="T9" s="634"/>
      <c r="U9" s="637"/>
    </row>
    <row r="10" spans="1:21" x14ac:dyDescent="0.3">
      <c r="A10" s="688" t="s">
        <v>3818</v>
      </c>
      <c r="B10" s="607" t="s">
        <v>3819</v>
      </c>
      <c r="C10" s="645">
        <v>0</v>
      </c>
      <c r="D10" s="645">
        <v>0.14699999999999999</v>
      </c>
      <c r="E10" s="645">
        <v>0.15</v>
      </c>
      <c r="F10" s="641">
        <v>710</v>
      </c>
      <c r="G10" s="641" t="s">
        <v>51</v>
      </c>
      <c r="H10" s="649"/>
      <c r="I10" s="641"/>
      <c r="J10" s="641"/>
      <c r="K10" s="641"/>
      <c r="L10" s="641"/>
      <c r="M10" s="641"/>
      <c r="N10" s="641"/>
      <c r="O10" s="641"/>
      <c r="P10" s="641"/>
      <c r="Q10" s="641"/>
      <c r="R10" s="641">
        <v>70960070249</v>
      </c>
      <c r="S10" s="641" t="s">
        <v>3817</v>
      </c>
      <c r="T10" s="641" t="s">
        <v>2485</v>
      </c>
      <c r="U10" s="642"/>
    </row>
    <row r="11" spans="1:21" ht="15" thickBot="1" x14ac:dyDescent="0.35">
      <c r="A11" s="689"/>
      <c r="B11" s="609"/>
      <c r="C11" s="646"/>
      <c r="D11" s="646"/>
      <c r="E11" s="646"/>
      <c r="F11" s="634"/>
      <c r="G11" s="634"/>
      <c r="H11" s="650"/>
      <c r="I11" s="634"/>
      <c r="J11" s="634"/>
      <c r="K11" s="634"/>
      <c r="L11" s="634"/>
      <c r="M11" s="634"/>
      <c r="N11" s="634"/>
      <c r="O11" s="634"/>
      <c r="P11" s="634"/>
      <c r="Q11" s="634"/>
      <c r="R11" s="634"/>
      <c r="S11" s="634"/>
      <c r="T11" s="634"/>
      <c r="U11" s="637"/>
    </row>
    <row r="12" spans="1:21" x14ac:dyDescent="0.3">
      <c r="A12" s="688" t="s">
        <v>3820</v>
      </c>
      <c r="B12" s="607" t="s">
        <v>1597</v>
      </c>
      <c r="C12" s="43">
        <v>0</v>
      </c>
      <c r="D12" s="43">
        <v>0.14000000000000001</v>
      </c>
      <c r="E12" s="645">
        <v>0.31</v>
      </c>
      <c r="F12" s="33">
        <v>700</v>
      </c>
      <c r="G12" s="33" t="s">
        <v>51</v>
      </c>
      <c r="H12" s="36"/>
      <c r="I12" s="33"/>
      <c r="J12" s="33"/>
      <c r="K12" s="33"/>
      <c r="L12" s="33"/>
      <c r="M12" s="33"/>
      <c r="N12" s="33"/>
      <c r="O12" s="33"/>
      <c r="P12" s="33"/>
      <c r="Q12" s="33"/>
      <c r="R12" s="33">
        <v>70960070255</v>
      </c>
      <c r="S12" s="641" t="s">
        <v>3817</v>
      </c>
      <c r="T12" s="641" t="s">
        <v>2485</v>
      </c>
      <c r="U12" s="642" t="s">
        <v>67</v>
      </c>
    </row>
    <row r="13" spans="1:21" ht="27" customHeight="1" thickBot="1" x14ac:dyDescent="0.35">
      <c r="A13" s="689"/>
      <c r="B13" s="609"/>
      <c r="C13" s="46">
        <v>0.14000000000000001</v>
      </c>
      <c r="D13" s="46">
        <v>0.31</v>
      </c>
      <c r="E13" s="646"/>
      <c r="F13" s="20">
        <v>700</v>
      </c>
      <c r="G13" s="20" t="s">
        <v>32</v>
      </c>
      <c r="H13" s="38"/>
      <c r="I13" s="20"/>
      <c r="J13" s="20"/>
      <c r="K13" s="20"/>
      <c r="L13" s="20"/>
      <c r="M13" s="20"/>
      <c r="N13" s="20"/>
      <c r="O13" s="20"/>
      <c r="P13" s="20"/>
      <c r="Q13" s="20"/>
      <c r="R13" s="20">
        <v>70960070256</v>
      </c>
      <c r="S13" s="634"/>
      <c r="T13" s="634"/>
      <c r="U13" s="637"/>
    </row>
    <row r="14" spans="1:21" ht="16.2" customHeight="1" x14ac:dyDescent="0.3">
      <c r="A14" s="688" t="s">
        <v>3821</v>
      </c>
      <c r="B14" s="607" t="s">
        <v>351</v>
      </c>
      <c r="C14" s="645">
        <v>0</v>
      </c>
      <c r="D14" s="645">
        <v>0.371</v>
      </c>
      <c r="E14" s="645">
        <v>0.49</v>
      </c>
      <c r="F14" s="641">
        <v>1840</v>
      </c>
      <c r="G14" s="641" t="s">
        <v>51</v>
      </c>
      <c r="H14" s="649"/>
      <c r="I14" s="641"/>
      <c r="J14" s="641"/>
      <c r="K14" s="641"/>
      <c r="L14" s="641"/>
      <c r="M14" s="641"/>
      <c r="N14" s="641"/>
      <c r="O14" s="641"/>
      <c r="P14" s="641"/>
      <c r="Q14" s="641"/>
      <c r="R14" s="641">
        <v>70960070250</v>
      </c>
      <c r="S14" s="641" t="s">
        <v>3817</v>
      </c>
      <c r="T14" s="641" t="s">
        <v>2485</v>
      </c>
      <c r="U14" s="642"/>
    </row>
    <row r="15" spans="1:21" ht="15" customHeight="1" x14ac:dyDescent="0.3">
      <c r="A15" s="690"/>
      <c r="B15" s="608"/>
      <c r="C15" s="654"/>
      <c r="D15" s="654"/>
      <c r="E15" s="654"/>
      <c r="F15" s="633"/>
      <c r="G15" s="633"/>
      <c r="H15" s="653"/>
      <c r="I15" s="633"/>
      <c r="J15" s="633"/>
      <c r="K15" s="633"/>
      <c r="L15" s="633"/>
      <c r="M15" s="633"/>
      <c r="N15" s="633"/>
      <c r="O15" s="633"/>
      <c r="P15" s="633"/>
      <c r="Q15" s="633"/>
      <c r="R15" s="633"/>
      <c r="S15" s="633"/>
      <c r="T15" s="633"/>
      <c r="U15" s="636"/>
    </row>
    <row r="16" spans="1:21" x14ac:dyDescent="0.3">
      <c r="A16" s="690"/>
      <c r="B16" s="608"/>
      <c r="C16" s="48">
        <v>0.371</v>
      </c>
      <c r="D16" s="48">
        <v>0.39100000000000001</v>
      </c>
      <c r="E16" s="654"/>
      <c r="F16" s="633"/>
      <c r="G16" s="633"/>
      <c r="H16" s="37"/>
      <c r="I16" s="14"/>
      <c r="J16" s="14"/>
      <c r="K16" s="14"/>
      <c r="L16" s="14"/>
      <c r="M16" s="14"/>
      <c r="N16" s="14"/>
      <c r="O16" s="14"/>
      <c r="P16" s="14"/>
      <c r="Q16" s="14"/>
      <c r="R16" s="633"/>
      <c r="S16" s="633"/>
      <c r="T16" s="633"/>
      <c r="U16" s="636"/>
    </row>
    <row r="17" spans="1:21" ht="15" thickBot="1" x14ac:dyDescent="0.35">
      <c r="A17" s="689"/>
      <c r="B17" s="609"/>
      <c r="C17" s="46">
        <v>0.39100000000000001</v>
      </c>
      <c r="D17" s="46">
        <v>0.49</v>
      </c>
      <c r="E17" s="646"/>
      <c r="F17" s="20">
        <v>400</v>
      </c>
      <c r="G17" s="20" t="s">
        <v>32</v>
      </c>
      <c r="H17" s="38"/>
      <c r="I17" s="20"/>
      <c r="J17" s="20"/>
      <c r="K17" s="20"/>
      <c r="L17" s="20"/>
      <c r="M17" s="20"/>
      <c r="N17" s="20"/>
      <c r="O17" s="20"/>
      <c r="P17" s="20"/>
      <c r="Q17" s="20"/>
      <c r="R17" s="19" t="s">
        <v>3822</v>
      </c>
      <c r="S17" s="634"/>
      <c r="T17" s="634"/>
      <c r="U17" s="637"/>
    </row>
    <row r="18" spans="1:21" ht="16.2" customHeight="1" x14ac:dyDescent="0.3">
      <c r="A18" s="688" t="s">
        <v>3823</v>
      </c>
      <c r="B18" s="607" t="s">
        <v>247</v>
      </c>
      <c r="C18" s="645">
        <v>0</v>
      </c>
      <c r="D18" s="645">
        <v>0.51900000000000002</v>
      </c>
      <c r="E18" s="645">
        <v>0.72</v>
      </c>
      <c r="F18" s="641">
        <v>2575</v>
      </c>
      <c r="G18" s="641" t="s">
        <v>32</v>
      </c>
      <c r="H18" s="649"/>
      <c r="I18" s="641"/>
      <c r="J18" s="641"/>
      <c r="K18" s="641"/>
      <c r="L18" s="641"/>
      <c r="M18" s="641"/>
      <c r="N18" s="641"/>
      <c r="O18" s="641"/>
      <c r="P18" s="641"/>
      <c r="Q18" s="641"/>
      <c r="R18" s="641">
        <v>70960070244</v>
      </c>
      <c r="S18" s="641" t="s">
        <v>3817</v>
      </c>
      <c r="T18" s="641" t="s">
        <v>2485</v>
      </c>
      <c r="U18" s="642"/>
    </row>
    <row r="19" spans="1:21" ht="14.4" customHeight="1" x14ac:dyDescent="0.3">
      <c r="A19" s="690"/>
      <c r="B19" s="608"/>
      <c r="C19" s="654"/>
      <c r="D19" s="654"/>
      <c r="E19" s="654"/>
      <c r="F19" s="633"/>
      <c r="G19" s="633"/>
      <c r="H19" s="653"/>
      <c r="I19" s="633"/>
      <c r="J19" s="633"/>
      <c r="K19" s="633"/>
      <c r="L19" s="633"/>
      <c r="M19" s="633"/>
      <c r="N19" s="633"/>
      <c r="O19" s="633"/>
      <c r="P19" s="633"/>
      <c r="Q19" s="633"/>
      <c r="R19" s="633"/>
      <c r="S19" s="633"/>
      <c r="T19" s="633"/>
      <c r="U19" s="636"/>
    </row>
    <row r="20" spans="1:21" x14ac:dyDescent="0.3">
      <c r="A20" s="690"/>
      <c r="B20" s="608"/>
      <c r="C20" s="48">
        <v>0.51900000000000002</v>
      </c>
      <c r="D20" s="48">
        <v>0.53900000000000003</v>
      </c>
      <c r="E20" s="654"/>
      <c r="F20" s="633"/>
      <c r="G20" s="633"/>
      <c r="H20" s="37"/>
      <c r="I20" s="14"/>
      <c r="J20" s="14"/>
      <c r="K20" s="14"/>
      <c r="L20" s="14"/>
      <c r="M20" s="14"/>
      <c r="N20" s="14"/>
      <c r="O20" s="14"/>
      <c r="P20" s="14"/>
      <c r="Q20" s="14"/>
      <c r="R20" s="633"/>
      <c r="S20" s="633"/>
      <c r="T20" s="633"/>
      <c r="U20" s="636"/>
    </row>
    <row r="21" spans="1:21" ht="15" thickBot="1" x14ac:dyDescent="0.35">
      <c r="A21" s="689"/>
      <c r="B21" s="609"/>
      <c r="C21" s="46">
        <v>0.53900000000000003</v>
      </c>
      <c r="D21" s="46">
        <v>0.72</v>
      </c>
      <c r="E21" s="646"/>
      <c r="F21" s="634"/>
      <c r="G21" s="634"/>
      <c r="H21" s="38"/>
      <c r="I21" s="20"/>
      <c r="J21" s="20"/>
      <c r="K21" s="20"/>
      <c r="L21" s="20"/>
      <c r="M21" s="20"/>
      <c r="N21" s="20"/>
      <c r="O21" s="20"/>
      <c r="P21" s="20"/>
      <c r="Q21" s="20"/>
      <c r="R21" s="20" t="s">
        <v>3824</v>
      </c>
      <c r="S21" s="634"/>
      <c r="T21" s="634"/>
      <c r="U21" s="637"/>
    </row>
    <row r="22" spans="1:21" ht="16.2" customHeight="1" x14ac:dyDescent="0.3">
      <c r="A22" s="688" t="s">
        <v>3825</v>
      </c>
      <c r="B22" s="607" t="s">
        <v>3826</v>
      </c>
      <c r="C22" s="645">
        <v>0</v>
      </c>
      <c r="D22" s="645">
        <v>0.13</v>
      </c>
      <c r="E22" s="645">
        <v>0.27</v>
      </c>
      <c r="F22" s="641">
        <v>1335</v>
      </c>
      <c r="G22" s="641" t="s">
        <v>32</v>
      </c>
      <c r="H22" s="649"/>
      <c r="I22" s="641"/>
      <c r="J22" s="641"/>
      <c r="K22" s="641"/>
      <c r="L22" s="641"/>
      <c r="M22" s="641"/>
      <c r="N22" s="641"/>
      <c r="O22" s="641"/>
      <c r="P22" s="641"/>
      <c r="Q22" s="641"/>
      <c r="R22" s="641">
        <v>70960070259</v>
      </c>
      <c r="S22" s="641" t="s">
        <v>3817</v>
      </c>
      <c r="T22" s="641" t="s">
        <v>2485</v>
      </c>
      <c r="U22" s="642" t="s">
        <v>67</v>
      </c>
    </row>
    <row r="23" spans="1:21" x14ac:dyDescent="0.3">
      <c r="A23" s="690"/>
      <c r="B23" s="608"/>
      <c r="C23" s="654"/>
      <c r="D23" s="654"/>
      <c r="E23" s="654"/>
      <c r="F23" s="633"/>
      <c r="G23" s="633"/>
      <c r="H23" s="653"/>
      <c r="I23" s="633"/>
      <c r="J23" s="633"/>
      <c r="K23" s="633"/>
      <c r="L23" s="633"/>
      <c r="M23" s="633"/>
      <c r="N23" s="633"/>
      <c r="O23" s="633"/>
      <c r="P23" s="633"/>
      <c r="Q23" s="633"/>
      <c r="R23" s="633"/>
      <c r="S23" s="633"/>
      <c r="T23" s="633"/>
      <c r="U23" s="636"/>
    </row>
    <row r="24" spans="1:21" ht="15" thickBot="1" x14ac:dyDescent="0.35">
      <c r="A24" s="689"/>
      <c r="B24" s="609"/>
      <c r="C24" s="46">
        <v>0.13</v>
      </c>
      <c r="D24" s="46">
        <v>0.27</v>
      </c>
      <c r="E24" s="646"/>
      <c r="F24" s="634"/>
      <c r="G24" s="634"/>
      <c r="H24" s="38"/>
      <c r="I24" s="20"/>
      <c r="J24" s="20"/>
      <c r="K24" s="20"/>
      <c r="L24" s="20"/>
      <c r="M24" s="20"/>
      <c r="N24" s="20"/>
      <c r="O24" s="20"/>
      <c r="P24" s="20"/>
      <c r="Q24" s="20"/>
      <c r="R24" s="20">
        <v>70960070258</v>
      </c>
      <c r="S24" s="634"/>
      <c r="T24" s="634"/>
      <c r="U24" s="637"/>
    </row>
    <row r="25" spans="1:21" ht="16.2" customHeight="1" x14ac:dyDescent="0.3">
      <c r="A25" s="688" t="s">
        <v>3827</v>
      </c>
      <c r="B25" s="607" t="s">
        <v>3828</v>
      </c>
      <c r="C25" s="645">
        <v>0</v>
      </c>
      <c r="D25" s="645">
        <v>0.122</v>
      </c>
      <c r="E25" s="645">
        <v>0.121</v>
      </c>
      <c r="F25" s="641">
        <v>605</v>
      </c>
      <c r="G25" s="641" t="s">
        <v>51</v>
      </c>
      <c r="H25" s="649"/>
      <c r="I25" s="641"/>
      <c r="J25" s="641"/>
      <c r="K25" s="641"/>
      <c r="L25" s="641"/>
      <c r="M25" s="641"/>
      <c r="N25" s="641"/>
      <c r="O25" s="641"/>
      <c r="P25" s="641"/>
      <c r="Q25" s="641"/>
      <c r="R25" s="641">
        <v>70960070264</v>
      </c>
      <c r="S25" s="641" t="s">
        <v>3817</v>
      </c>
      <c r="T25" s="641" t="s">
        <v>2485</v>
      </c>
      <c r="U25" s="744"/>
    </row>
    <row r="26" spans="1:21" ht="15" thickBot="1" x14ac:dyDescent="0.35">
      <c r="A26" s="689"/>
      <c r="B26" s="609"/>
      <c r="C26" s="646"/>
      <c r="D26" s="646"/>
      <c r="E26" s="646"/>
      <c r="F26" s="634"/>
      <c r="G26" s="634"/>
      <c r="H26" s="650"/>
      <c r="I26" s="634"/>
      <c r="J26" s="634"/>
      <c r="K26" s="634"/>
      <c r="L26" s="634"/>
      <c r="M26" s="634"/>
      <c r="N26" s="634"/>
      <c r="O26" s="634"/>
      <c r="P26" s="634"/>
      <c r="Q26" s="634"/>
      <c r="R26" s="634"/>
      <c r="S26" s="634"/>
      <c r="T26" s="634"/>
      <c r="U26" s="745"/>
    </row>
    <row r="27" spans="1:21" ht="16.2" customHeight="1" x14ac:dyDescent="0.3">
      <c r="A27" s="688" t="s">
        <v>3829</v>
      </c>
      <c r="B27" s="607" t="s">
        <v>3830</v>
      </c>
      <c r="C27" s="645">
        <v>0</v>
      </c>
      <c r="D27" s="645">
        <v>0.17799999999999999</v>
      </c>
      <c r="E27" s="645">
        <v>0.18</v>
      </c>
      <c r="F27" s="641">
        <v>900</v>
      </c>
      <c r="G27" s="641" t="s">
        <v>32</v>
      </c>
      <c r="H27" s="649"/>
      <c r="I27" s="641"/>
      <c r="J27" s="641"/>
      <c r="K27" s="641"/>
      <c r="L27" s="641"/>
      <c r="M27" s="641"/>
      <c r="N27" s="641"/>
      <c r="O27" s="641"/>
      <c r="P27" s="641"/>
      <c r="Q27" s="641"/>
      <c r="R27" s="641">
        <v>70960070257</v>
      </c>
      <c r="S27" s="641" t="s">
        <v>3817</v>
      </c>
      <c r="T27" s="641" t="s">
        <v>2485</v>
      </c>
      <c r="U27" s="744"/>
    </row>
    <row r="28" spans="1:21" ht="15" thickBot="1" x14ac:dyDescent="0.35">
      <c r="A28" s="689"/>
      <c r="B28" s="609"/>
      <c r="C28" s="646"/>
      <c r="D28" s="646"/>
      <c r="E28" s="646"/>
      <c r="F28" s="634"/>
      <c r="G28" s="634"/>
      <c r="H28" s="650"/>
      <c r="I28" s="634"/>
      <c r="J28" s="634"/>
      <c r="K28" s="634"/>
      <c r="L28" s="634"/>
      <c r="M28" s="634"/>
      <c r="N28" s="634"/>
      <c r="O28" s="634"/>
      <c r="P28" s="634"/>
      <c r="Q28" s="634"/>
      <c r="R28" s="634"/>
      <c r="S28" s="634"/>
      <c r="T28" s="634"/>
      <c r="U28" s="745"/>
    </row>
    <row r="29" spans="1:21" x14ac:dyDescent="0.3">
      <c r="A29" s="688" t="s">
        <v>3831</v>
      </c>
      <c r="B29" s="607" t="s">
        <v>2613</v>
      </c>
      <c r="C29" s="43">
        <v>0</v>
      </c>
      <c r="D29" s="43">
        <v>0.13</v>
      </c>
      <c r="E29" s="645">
        <v>0.4</v>
      </c>
      <c r="F29" s="641">
        <v>1905</v>
      </c>
      <c r="G29" s="641" t="s">
        <v>32</v>
      </c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3">
        <v>70960070242</v>
      </c>
      <c r="S29" s="641" t="s">
        <v>3817</v>
      </c>
      <c r="T29" s="641" t="s">
        <v>2485</v>
      </c>
      <c r="U29" s="744"/>
    </row>
    <row r="30" spans="1:21" ht="16.2" customHeight="1" x14ac:dyDescent="0.3">
      <c r="A30" s="690"/>
      <c r="B30" s="608"/>
      <c r="C30" s="48">
        <v>0.13</v>
      </c>
      <c r="D30" s="48">
        <v>0.22</v>
      </c>
      <c r="E30" s="654"/>
      <c r="F30" s="633"/>
      <c r="G30" s="633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633">
        <v>70960070243</v>
      </c>
      <c r="S30" s="633"/>
      <c r="T30" s="633"/>
      <c r="U30" s="750"/>
    </row>
    <row r="31" spans="1:21" ht="16.2" customHeight="1" thickBot="1" x14ac:dyDescent="0.35">
      <c r="A31" s="689"/>
      <c r="B31" s="609"/>
      <c r="C31" s="46">
        <v>0.22</v>
      </c>
      <c r="D31" s="46">
        <v>0.4</v>
      </c>
      <c r="E31" s="646"/>
      <c r="F31" s="634"/>
      <c r="G31" s="634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634"/>
      <c r="S31" s="634"/>
      <c r="T31" s="634"/>
      <c r="U31" s="745"/>
    </row>
    <row r="32" spans="1:21" x14ac:dyDescent="0.3">
      <c r="A32" s="688" t="s">
        <v>3832</v>
      </c>
      <c r="B32" s="607" t="s">
        <v>2559</v>
      </c>
      <c r="C32" s="645">
        <v>0</v>
      </c>
      <c r="D32" s="645">
        <v>0.40100000000000002</v>
      </c>
      <c r="E32" s="645">
        <v>0.4</v>
      </c>
      <c r="F32" s="641">
        <v>2000</v>
      </c>
      <c r="G32" s="641" t="s">
        <v>32</v>
      </c>
      <c r="H32" s="649"/>
      <c r="I32" s="641"/>
      <c r="J32" s="641"/>
      <c r="K32" s="641"/>
      <c r="L32" s="641"/>
      <c r="M32" s="641"/>
      <c r="N32" s="641"/>
      <c r="O32" s="641"/>
      <c r="P32" s="641"/>
      <c r="Q32" s="641"/>
      <c r="R32" s="641">
        <v>70960070241</v>
      </c>
      <c r="S32" s="641" t="s">
        <v>3817</v>
      </c>
      <c r="T32" s="641" t="s">
        <v>2485</v>
      </c>
      <c r="U32" s="744"/>
    </row>
    <row r="33" spans="1:21" ht="15" thickBot="1" x14ac:dyDescent="0.35">
      <c r="A33" s="689"/>
      <c r="B33" s="609"/>
      <c r="C33" s="646"/>
      <c r="D33" s="646"/>
      <c r="E33" s="646"/>
      <c r="F33" s="634"/>
      <c r="G33" s="634"/>
      <c r="H33" s="650"/>
      <c r="I33" s="634"/>
      <c r="J33" s="634"/>
      <c r="K33" s="634"/>
      <c r="L33" s="634"/>
      <c r="M33" s="634"/>
      <c r="N33" s="634"/>
      <c r="O33" s="634"/>
      <c r="P33" s="634"/>
      <c r="Q33" s="634"/>
      <c r="R33" s="634"/>
      <c r="S33" s="634"/>
      <c r="T33" s="634"/>
      <c r="U33" s="745"/>
    </row>
    <row r="34" spans="1:21" ht="14.4" customHeight="1" x14ac:dyDescent="0.3">
      <c r="A34" s="688" t="s">
        <v>3833</v>
      </c>
      <c r="B34" s="607" t="s">
        <v>230</v>
      </c>
      <c r="C34" s="645">
        <v>0</v>
      </c>
      <c r="D34" s="645">
        <v>0.158</v>
      </c>
      <c r="E34" s="645">
        <v>0.32</v>
      </c>
      <c r="F34" s="641">
        <v>1680</v>
      </c>
      <c r="G34" s="641" t="s">
        <v>32</v>
      </c>
      <c r="H34" s="649"/>
      <c r="I34" s="641"/>
      <c r="J34" s="641"/>
      <c r="K34" s="641"/>
      <c r="L34" s="641"/>
      <c r="M34" s="641"/>
      <c r="N34" s="641"/>
      <c r="O34" s="641"/>
      <c r="P34" s="641"/>
      <c r="Q34" s="641"/>
      <c r="R34" s="641">
        <v>70960070256</v>
      </c>
      <c r="S34" s="641" t="s">
        <v>3817</v>
      </c>
      <c r="T34" s="641" t="s">
        <v>2485</v>
      </c>
      <c r="U34" s="642"/>
    </row>
    <row r="35" spans="1:21" x14ac:dyDescent="0.3">
      <c r="A35" s="690"/>
      <c r="B35" s="608"/>
      <c r="C35" s="654"/>
      <c r="D35" s="654"/>
      <c r="E35" s="654"/>
      <c r="F35" s="633"/>
      <c r="G35" s="633"/>
      <c r="H35" s="653"/>
      <c r="I35" s="633"/>
      <c r="J35" s="633"/>
      <c r="K35" s="633"/>
      <c r="L35" s="633"/>
      <c r="M35" s="633"/>
      <c r="N35" s="633"/>
      <c r="O35" s="633"/>
      <c r="P35" s="633"/>
      <c r="Q35" s="633"/>
      <c r="R35" s="633"/>
      <c r="S35" s="633"/>
      <c r="T35" s="633"/>
      <c r="U35" s="636"/>
    </row>
    <row r="36" spans="1:21" x14ac:dyDescent="0.3">
      <c r="A36" s="690"/>
      <c r="B36" s="608"/>
      <c r="C36" s="48">
        <v>0.16</v>
      </c>
      <c r="D36" s="48">
        <v>0.21</v>
      </c>
      <c r="E36" s="654"/>
      <c r="F36" s="633"/>
      <c r="G36" s="633"/>
      <c r="H36" s="37"/>
      <c r="I36" s="14"/>
      <c r="J36" s="14"/>
      <c r="K36" s="14"/>
      <c r="L36" s="14"/>
      <c r="M36" s="14"/>
      <c r="N36" s="14"/>
      <c r="O36" s="14"/>
      <c r="P36" s="14"/>
      <c r="Q36" s="14"/>
      <c r="R36" s="14" t="s">
        <v>3834</v>
      </c>
      <c r="S36" s="633"/>
      <c r="T36" s="633"/>
      <c r="U36" s="636"/>
    </row>
    <row r="37" spans="1:21" ht="14.4" customHeight="1" x14ac:dyDescent="0.3">
      <c r="A37" s="690"/>
      <c r="B37" s="608"/>
      <c r="C37" s="654">
        <v>0.21</v>
      </c>
      <c r="D37" s="654">
        <v>0.22</v>
      </c>
      <c r="E37" s="654"/>
      <c r="F37" s="633"/>
      <c r="G37" s="633"/>
      <c r="H37" s="37"/>
      <c r="I37" s="14"/>
      <c r="J37" s="14"/>
      <c r="K37" s="14"/>
      <c r="L37" s="14"/>
      <c r="M37" s="14"/>
      <c r="N37" s="14"/>
      <c r="O37" s="14"/>
      <c r="P37" s="14"/>
      <c r="Q37" s="14"/>
      <c r="R37" s="633">
        <v>70960070265</v>
      </c>
      <c r="S37" s="633"/>
      <c r="T37" s="633"/>
      <c r="U37" s="636"/>
    </row>
    <row r="38" spans="1:21" ht="15" customHeight="1" x14ac:dyDescent="0.3">
      <c r="A38" s="690"/>
      <c r="B38" s="608"/>
      <c r="C38" s="654"/>
      <c r="D38" s="654"/>
      <c r="E38" s="654"/>
      <c r="F38" s="633"/>
      <c r="G38" s="633"/>
      <c r="H38" s="37"/>
      <c r="I38" s="14"/>
      <c r="J38" s="14"/>
      <c r="K38" s="14"/>
      <c r="L38" s="14"/>
      <c r="M38" s="14"/>
      <c r="N38" s="14"/>
      <c r="O38" s="14"/>
      <c r="P38" s="14"/>
      <c r="Q38" s="14"/>
      <c r="R38" s="633"/>
      <c r="S38" s="633"/>
      <c r="T38" s="633"/>
      <c r="U38" s="636"/>
    </row>
    <row r="39" spans="1:21" ht="15" customHeight="1" thickBot="1" x14ac:dyDescent="0.35">
      <c r="A39" s="689"/>
      <c r="B39" s="609"/>
      <c r="C39" s="46">
        <v>0.22</v>
      </c>
      <c r="D39" s="46">
        <v>0.32</v>
      </c>
      <c r="E39" s="646"/>
      <c r="F39" s="20"/>
      <c r="G39" s="20" t="s">
        <v>51</v>
      </c>
      <c r="H39" s="38"/>
      <c r="I39" s="20"/>
      <c r="J39" s="20"/>
      <c r="K39" s="20"/>
      <c r="L39" s="20"/>
      <c r="M39" s="20"/>
      <c r="N39" s="20"/>
      <c r="O39" s="20"/>
      <c r="P39" s="20"/>
      <c r="Q39" s="20"/>
      <c r="R39" s="20">
        <v>70960070265</v>
      </c>
      <c r="S39" s="634"/>
      <c r="T39" s="634"/>
      <c r="U39" s="637"/>
    </row>
    <row r="40" spans="1:21" x14ac:dyDescent="0.3">
      <c r="A40" s="688" t="s">
        <v>3835</v>
      </c>
      <c r="B40" s="607" t="s">
        <v>3836</v>
      </c>
      <c r="C40" s="645">
        <v>0</v>
      </c>
      <c r="D40" s="645">
        <v>0.22</v>
      </c>
      <c r="E40" s="645">
        <v>0.26</v>
      </c>
      <c r="F40" s="641">
        <v>1100</v>
      </c>
      <c r="G40" s="641" t="s">
        <v>32</v>
      </c>
      <c r="H40" s="649"/>
      <c r="I40" s="641"/>
      <c r="J40" s="641"/>
      <c r="K40" s="641"/>
      <c r="L40" s="641"/>
      <c r="M40" s="641"/>
      <c r="N40" s="641"/>
      <c r="O40" s="641"/>
      <c r="P40" s="641"/>
      <c r="Q40" s="641"/>
      <c r="R40" s="641">
        <v>70960070245</v>
      </c>
      <c r="S40" s="641" t="s">
        <v>3817</v>
      </c>
      <c r="T40" s="641" t="s">
        <v>2485</v>
      </c>
      <c r="U40" s="642"/>
    </row>
    <row r="41" spans="1:21" x14ac:dyDescent="0.3">
      <c r="A41" s="690"/>
      <c r="B41" s="608"/>
      <c r="C41" s="654"/>
      <c r="D41" s="654"/>
      <c r="E41" s="654"/>
      <c r="F41" s="633"/>
      <c r="G41" s="633"/>
      <c r="H41" s="653"/>
      <c r="I41" s="633"/>
      <c r="J41" s="633"/>
      <c r="K41" s="633"/>
      <c r="L41" s="633"/>
      <c r="M41" s="633"/>
      <c r="N41" s="633"/>
      <c r="O41" s="633"/>
      <c r="P41" s="633"/>
      <c r="Q41" s="633"/>
      <c r="R41" s="633"/>
      <c r="S41" s="633"/>
      <c r="T41" s="633"/>
      <c r="U41" s="636"/>
    </row>
    <row r="42" spans="1:21" ht="15" thickBot="1" x14ac:dyDescent="0.35">
      <c r="A42" s="689"/>
      <c r="B42" s="609"/>
      <c r="C42" s="46">
        <v>0.22</v>
      </c>
      <c r="D42" s="46">
        <v>0.26</v>
      </c>
      <c r="E42" s="646"/>
      <c r="F42" s="634"/>
      <c r="G42" s="634"/>
      <c r="H42" s="38"/>
      <c r="I42" s="20"/>
      <c r="J42" s="20"/>
      <c r="K42" s="20"/>
      <c r="L42" s="20"/>
      <c r="M42" s="20"/>
      <c r="N42" s="20"/>
      <c r="O42" s="20"/>
      <c r="P42" s="20"/>
      <c r="Q42" s="20"/>
      <c r="R42" s="20" t="s">
        <v>3837</v>
      </c>
      <c r="S42" s="634"/>
      <c r="T42" s="634"/>
      <c r="U42" s="637"/>
    </row>
    <row r="43" spans="1:21" x14ac:dyDescent="0.3">
      <c r="A43" s="688" t="s">
        <v>3838</v>
      </c>
      <c r="B43" s="607" t="s">
        <v>927</v>
      </c>
      <c r="C43" s="645">
        <v>0</v>
      </c>
      <c r="D43" s="645">
        <v>0.14099999999999999</v>
      </c>
      <c r="E43" s="645">
        <v>0.14000000000000001</v>
      </c>
      <c r="F43" s="641">
        <v>700</v>
      </c>
      <c r="G43" s="641" t="s">
        <v>32</v>
      </c>
      <c r="H43" s="649"/>
      <c r="I43" s="641"/>
      <c r="J43" s="641"/>
      <c r="K43" s="641"/>
      <c r="L43" s="641"/>
      <c r="M43" s="641"/>
      <c r="N43" s="641"/>
      <c r="O43" s="641"/>
      <c r="P43" s="641"/>
      <c r="Q43" s="641"/>
      <c r="R43" s="641">
        <v>70960070246</v>
      </c>
      <c r="S43" s="641" t="s">
        <v>3817</v>
      </c>
      <c r="T43" s="641" t="s">
        <v>2485</v>
      </c>
      <c r="U43" s="744"/>
    </row>
    <row r="44" spans="1:21" ht="15" thickBot="1" x14ac:dyDescent="0.35">
      <c r="A44" s="689"/>
      <c r="B44" s="609"/>
      <c r="C44" s="646"/>
      <c r="D44" s="646"/>
      <c r="E44" s="646"/>
      <c r="F44" s="634"/>
      <c r="G44" s="634"/>
      <c r="H44" s="650"/>
      <c r="I44" s="634"/>
      <c r="J44" s="634"/>
      <c r="K44" s="634"/>
      <c r="L44" s="634"/>
      <c r="M44" s="634"/>
      <c r="N44" s="634"/>
      <c r="O44" s="634"/>
      <c r="P44" s="634"/>
      <c r="Q44" s="634"/>
      <c r="R44" s="634"/>
      <c r="S44" s="634"/>
      <c r="T44" s="634"/>
      <c r="U44" s="745"/>
    </row>
    <row r="45" spans="1:21" x14ac:dyDescent="0.3">
      <c r="A45" s="688" t="s">
        <v>3839</v>
      </c>
      <c r="B45" s="607" t="s">
        <v>373</v>
      </c>
      <c r="C45" s="645">
        <v>0</v>
      </c>
      <c r="D45" s="645">
        <v>0.14000000000000001</v>
      </c>
      <c r="E45" s="645">
        <v>0.14399999999999999</v>
      </c>
      <c r="F45" s="641">
        <v>720</v>
      </c>
      <c r="G45" s="641" t="s">
        <v>32</v>
      </c>
      <c r="H45" s="649"/>
      <c r="I45" s="641"/>
      <c r="J45" s="641"/>
      <c r="K45" s="641"/>
      <c r="L45" s="641"/>
      <c r="M45" s="641"/>
      <c r="N45" s="641"/>
      <c r="O45" s="641"/>
      <c r="P45" s="641"/>
      <c r="Q45" s="641"/>
      <c r="R45" s="641" t="s">
        <v>3840</v>
      </c>
      <c r="S45" s="641" t="s">
        <v>3817</v>
      </c>
      <c r="T45" s="641" t="s">
        <v>2485</v>
      </c>
      <c r="U45" s="744"/>
    </row>
    <row r="46" spans="1:21" ht="15" thickBot="1" x14ac:dyDescent="0.35">
      <c r="A46" s="689"/>
      <c r="B46" s="609"/>
      <c r="C46" s="646"/>
      <c r="D46" s="646"/>
      <c r="E46" s="646"/>
      <c r="F46" s="634"/>
      <c r="G46" s="634"/>
      <c r="H46" s="650"/>
      <c r="I46" s="634"/>
      <c r="J46" s="634"/>
      <c r="K46" s="634"/>
      <c r="L46" s="634"/>
      <c r="M46" s="634"/>
      <c r="N46" s="634"/>
      <c r="O46" s="634"/>
      <c r="P46" s="634"/>
      <c r="Q46" s="634"/>
      <c r="R46" s="634"/>
      <c r="S46" s="634"/>
      <c r="T46" s="634"/>
      <c r="U46" s="745"/>
    </row>
    <row r="47" spans="1:21" ht="14.4" customHeight="1" x14ac:dyDescent="0.3">
      <c r="A47" s="688" t="s">
        <v>3841</v>
      </c>
      <c r="B47" s="607" t="s">
        <v>3842</v>
      </c>
      <c r="C47" s="43">
        <v>0</v>
      </c>
      <c r="D47" s="43">
        <v>1.119</v>
      </c>
      <c r="E47" s="645">
        <v>1.659</v>
      </c>
      <c r="F47" s="641">
        <v>8300</v>
      </c>
      <c r="G47" s="641" t="s">
        <v>32</v>
      </c>
      <c r="H47" s="36"/>
      <c r="I47" s="33"/>
      <c r="J47" s="33"/>
      <c r="K47" s="33"/>
      <c r="L47" s="33"/>
      <c r="M47" s="33"/>
      <c r="N47" s="33"/>
      <c r="O47" s="33"/>
      <c r="P47" s="33"/>
      <c r="Q47" s="33"/>
      <c r="R47" s="33">
        <v>70960010064</v>
      </c>
      <c r="S47" s="641"/>
      <c r="T47" s="641" t="s">
        <v>2485</v>
      </c>
      <c r="U47" s="744"/>
    </row>
    <row r="48" spans="1:21" ht="15" thickBot="1" x14ac:dyDescent="0.35">
      <c r="A48" s="689"/>
      <c r="B48" s="609"/>
      <c r="C48" s="46">
        <v>1.119</v>
      </c>
      <c r="D48" s="46">
        <v>1.659</v>
      </c>
      <c r="E48" s="646"/>
      <c r="F48" s="634"/>
      <c r="G48" s="634"/>
      <c r="H48" s="38"/>
      <c r="I48" s="20"/>
      <c r="J48" s="20"/>
      <c r="K48" s="20"/>
      <c r="L48" s="20"/>
      <c r="M48" s="20"/>
      <c r="N48" s="20"/>
      <c r="O48" s="20"/>
      <c r="P48" s="20"/>
      <c r="Q48" s="20"/>
      <c r="R48" s="20">
        <v>70960070105</v>
      </c>
      <c r="S48" s="634"/>
      <c r="T48" s="634"/>
      <c r="U48" s="745"/>
    </row>
    <row r="49" spans="1:21" ht="14.4" customHeight="1" x14ac:dyDescent="0.3">
      <c r="A49" s="688" t="s">
        <v>3843</v>
      </c>
      <c r="B49" s="607" t="s">
        <v>3844</v>
      </c>
      <c r="C49" s="43">
        <v>0</v>
      </c>
      <c r="D49" s="43">
        <v>2.9780000000000002</v>
      </c>
      <c r="E49" s="645">
        <v>4.2329999999999997</v>
      </c>
      <c r="F49" s="641">
        <v>25320</v>
      </c>
      <c r="G49" s="641" t="s">
        <v>32</v>
      </c>
      <c r="H49" s="36"/>
      <c r="I49" s="33"/>
      <c r="J49" s="33"/>
      <c r="K49" s="33"/>
      <c r="L49" s="33"/>
      <c r="M49" s="33"/>
      <c r="N49" s="33"/>
      <c r="O49" s="33"/>
      <c r="P49" s="33"/>
      <c r="Q49" s="33"/>
      <c r="R49" s="33">
        <v>70960050071</v>
      </c>
      <c r="S49" s="641"/>
      <c r="T49" s="641" t="s">
        <v>2485</v>
      </c>
      <c r="U49" s="744"/>
    </row>
    <row r="50" spans="1:21" ht="15" thickBot="1" x14ac:dyDescent="0.35">
      <c r="A50" s="689"/>
      <c r="B50" s="609"/>
      <c r="C50" s="46">
        <v>2.9780000000000002</v>
      </c>
      <c r="D50" s="46">
        <v>4.2329999999999997</v>
      </c>
      <c r="E50" s="646"/>
      <c r="F50" s="634"/>
      <c r="G50" s="634"/>
      <c r="H50" s="38"/>
      <c r="I50" s="20"/>
      <c r="J50" s="20"/>
      <c r="K50" s="20"/>
      <c r="L50" s="20"/>
      <c r="M50" s="20"/>
      <c r="N50" s="20"/>
      <c r="O50" s="20"/>
      <c r="P50" s="20"/>
      <c r="Q50" s="20"/>
      <c r="R50" s="20">
        <v>70960090080</v>
      </c>
      <c r="S50" s="634"/>
      <c r="T50" s="634"/>
      <c r="U50" s="745"/>
    </row>
    <row r="51" spans="1:21" x14ac:dyDescent="0.3">
      <c r="A51" s="688" t="s">
        <v>3845</v>
      </c>
      <c r="B51" s="607" t="s">
        <v>3846</v>
      </c>
      <c r="C51" s="43">
        <v>0</v>
      </c>
      <c r="D51" s="43">
        <v>1.149</v>
      </c>
      <c r="E51" s="645">
        <v>2.089</v>
      </c>
      <c r="F51" s="641">
        <v>12540</v>
      </c>
      <c r="G51" s="641" t="s">
        <v>32</v>
      </c>
      <c r="H51" s="36"/>
      <c r="I51" s="33"/>
      <c r="J51" s="33"/>
      <c r="K51" s="33"/>
      <c r="L51" s="33"/>
      <c r="M51" s="33"/>
      <c r="N51" s="33"/>
      <c r="O51" s="33"/>
      <c r="P51" s="33"/>
      <c r="Q51" s="33"/>
      <c r="R51" s="33">
        <v>70960010065</v>
      </c>
      <c r="S51" s="641"/>
      <c r="T51" s="641" t="s">
        <v>2485</v>
      </c>
      <c r="U51" s="744"/>
    </row>
    <row r="52" spans="1:21" ht="15" customHeight="1" thickBot="1" x14ac:dyDescent="0.35">
      <c r="A52" s="689"/>
      <c r="B52" s="609"/>
      <c r="C52" s="46">
        <v>1.149</v>
      </c>
      <c r="D52" s="46">
        <v>2.089</v>
      </c>
      <c r="E52" s="646"/>
      <c r="F52" s="634"/>
      <c r="G52" s="634"/>
      <c r="H52" s="38"/>
      <c r="I52" s="20"/>
      <c r="J52" s="20"/>
      <c r="K52" s="20"/>
      <c r="L52" s="20"/>
      <c r="M52" s="20"/>
      <c r="N52" s="20"/>
      <c r="O52" s="20"/>
      <c r="P52" s="20"/>
      <c r="Q52" s="20"/>
      <c r="R52" s="20">
        <v>70960070110</v>
      </c>
      <c r="S52" s="634"/>
      <c r="T52" s="634"/>
      <c r="U52" s="745"/>
    </row>
    <row r="53" spans="1:21" x14ac:dyDescent="0.3">
      <c r="A53" s="688" t="s">
        <v>3847</v>
      </c>
      <c r="B53" s="607" t="s">
        <v>3848</v>
      </c>
      <c r="C53" s="43">
        <v>0</v>
      </c>
      <c r="D53" s="43">
        <v>0.25</v>
      </c>
      <c r="E53" s="645">
        <v>5.66</v>
      </c>
      <c r="F53" s="641">
        <v>21618</v>
      </c>
      <c r="G53" s="641" t="s">
        <v>32</v>
      </c>
      <c r="H53" s="36"/>
      <c r="I53" s="33"/>
      <c r="J53" s="33"/>
      <c r="K53" s="33"/>
      <c r="L53" s="33"/>
      <c r="M53" s="33"/>
      <c r="N53" s="33"/>
      <c r="O53" s="33"/>
      <c r="P53" s="33"/>
      <c r="Q53" s="33"/>
      <c r="R53" s="33">
        <v>70960070104</v>
      </c>
      <c r="S53" s="641"/>
      <c r="T53" s="641" t="s">
        <v>2485</v>
      </c>
      <c r="U53" s="642" t="s">
        <v>67</v>
      </c>
    </row>
    <row r="54" spans="1:21" x14ac:dyDescent="0.3">
      <c r="A54" s="690"/>
      <c r="B54" s="608"/>
      <c r="C54" s="48">
        <v>0.25</v>
      </c>
      <c r="D54" s="48">
        <v>0.62</v>
      </c>
      <c r="E54" s="654"/>
      <c r="F54" s="633"/>
      <c r="G54" s="633"/>
      <c r="H54" s="37"/>
      <c r="I54" s="14"/>
      <c r="J54" s="14"/>
      <c r="K54" s="14"/>
      <c r="L54" s="14"/>
      <c r="M54" s="14"/>
      <c r="N54" s="14"/>
      <c r="O54" s="14"/>
      <c r="P54" s="14"/>
      <c r="Q54" s="14"/>
      <c r="R54" s="14" t="s">
        <v>3849</v>
      </c>
      <c r="S54" s="633"/>
      <c r="T54" s="633"/>
      <c r="U54" s="636"/>
    </row>
    <row r="55" spans="1:21" x14ac:dyDescent="0.3">
      <c r="A55" s="690"/>
      <c r="B55" s="608"/>
      <c r="C55" s="48">
        <v>0.62</v>
      </c>
      <c r="D55" s="48">
        <v>0.83</v>
      </c>
      <c r="E55" s="654"/>
      <c r="F55" s="633"/>
      <c r="G55" s="633"/>
      <c r="H55" s="37"/>
      <c r="I55" s="14"/>
      <c r="J55" s="14"/>
      <c r="K55" s="14"/>
      <c r="L55" s="14"/>
      <c r="M55" s="14"/>
      <c r="N55" s="14"/>
      <c r="O55" s="14"/>
      <c r="P55" s="14"/>
      <c r="Q55" s="14"/>
      <c r="R55" s="14">
        <v>70460020135</v>
      </c>
      <c r="S55" s="633"/>
      <c r="T55" s="633"/>
      <c r="U55" s="636"/>
    </row>
    <row r="56" spans="1:21" ht="13.5" customHeight="1" x14ac:dyDescent="0.3">
      <c r="A56" s="690"/>
      <c r="B56" s="608"/>
      <c r="C56" s="48">
        <v>0.83</v>
      </c>
      <c r="D56" s="48">
        <v>4.08</v>
      </c>
      <c r="E56" s="654"/>
      <c r="F56" s="633"/>
      <c r="G56" s="633"/>
      <c r="H56" s="37"/>
      <c r="I56" s="14"/>
      <c r="J56" s="14"/>
      <c r="K56" s="14"/>
      <c r="L56" s="14"/>
      <c r="M56" s="14"/>
      <c r="N56" s="14"/>
      <c r="O56" s="14"/>
      <c r="P56" s="14"/>
      <c r="Q56" s="14"/>
      <c r="R56" s="14">
        <v>70960100035</v>
      </c>
      <c r="S56" s="633"/>
      <c r="T56" s="633"/>
      <c r="U56" s="636"/>
    </row>
    <row r="57" spans="1:21" x14ac:dyDescent="0.3">
      <c r="A57" s="690"/>
      <c r="B57" s="608"/>
      <c r="C57" s="48">
        <v>4.08</v>
      </c>
      <c r="D57" s="48">
        <v>4.83</v>
      </c>
      <c r="E57" s="654"/>
      <c r="F57" s="633"/>
      <c r="G57" s="633"/>
      <c r="H57" s="37"/>
      <c r="I57" s="14"/>
      <c r="J57" s="14"/>
      <c r="K57" s="14"/>
      <c r="L57" s="14"/>
      <c r="M57" s="14"/>
      <c r="N57" s="14"/>
      <c r="O57" s="14"/>
      <c r="P57" s="14"/>
      <c r="Q57" s="14"/>
      <c r="R57" s="14" t="s">
        <v>3850</v>
      </c>
      <c r="S57" s="633"/>
      <c r="T57" s="633"/>
      <c r="U57" s="636"/>
    </row>
    <row r="58" spans="1:21" x14ac:dyDescent="0.3">
      <c r="A58" s="690"/>
      <c r="B58" s="608"/>
      <c r="C58" s="48">
        <v>4.83</v>
      </c>
      <c r="D58" s="48">
        <v>5.13</v>
      </c>
      <c r="E58" s="654"/>
      <c r="F58" s="633"/>
      <c r="G58" s="633"/>
      <c r="H58" s="37"/>
      <c r="I58" s="14"/>
      <c r="J58" s="14"/>
      <c r="K58" s="14"/>
      <c r="L58" s="14"/>
      <c r="M58" s="14"/>
      <c r="N58" s="14"/>
      <c r="O58" s="14"/>
      <c r="P58" s="14"/>
      <c r="Q58" s="14"/>
      <c r="R58" s="14">
        <v>70460050074</v>
      </c>
      <c r="S58" s="633"/>
      <c r="T58" s="633"/>
      <c r="U58" s="636"/>
    </row>
    <row r="59" spans="1:21" ht="15" thickBot="1" x14ac:dyDescent="0.35">
      <c r="A59" s="689"/>
      <c r="B59" s="609"/>
      <c r="C59" s="46">
        <v>5.13</v>
      </c>
      <c r="D59" s="46">
        <v>5.66</v>
      </c>
      <c r="E59" s="646"/>
      <c r="F59" s="634"/>
      <c r="G59" s="634"/>
      <c r="H59" s="38"/>
      <c r="I59" s="20"/>
      <c r="J59" s="20"/>
      <c r="K59" s="20"/>
      <c r="L59" s="20"/>
      <c r="M59" s="20"/>
      <c r="N59" s="20"/>
      <c r="O59" s="20"/>
      <c r="P59" s="20"/>
      <c r="Q59" s="20"/>
      <c r="R59" s="20" t="s">
        <v>3851</v>
      </c>
      <c r="S59" s="634"/>
      <c r="T59" s="634"/>
      <c r="U59" s="637"/>
    </row>
    <row r="60" spans="1:21" x14ac:dyDescent="0.3">
      <c r="A60" s="688" t="s">
        <v>3852</v>
      </c>
      <c r="B60" s="607" t="s">
        <v>3853</v>
      </c>
      <c r="C60" s="43">
        <v>0</v>
      </c>
      <c r="D60" s="43">
        <v>1.3460000000000001</v>
      </c>
      <c r="E60" s="645">
        <v>2.0190000000000001</v>
      </c>
      <c r="F60" s="641">
        <v>12132</v>
      </c>
      <c r="G60" s="641" t="s">
        <v>32</v>
      </c>
      <c r="H60" s="36"/>
      <c r="I60" s="33"/>
      <c r="J60" s="33"/>
      <c r="K60" s="33"/>
      <c r="L60" s="33"/>
      <c r="M60" s="33"/>
      <c r="N60" s="33"/>
      <c r="O60" s="33"/>
      <c r="P60" s="33"/>
      <c r="Q60" s="33"/>
      <c r="R60" s="33">
        <v>70960060088</v>
      </c>
      <c r="S60" s="641"/>
      <c r="T60" s="641" t="s">
        <v>2485</v>
      </c>
      <c r="U60" s="744"/>
    </row>
    <row r="61" spans="1:21" ht="15" thickBot="1" x14ac:dyDescent="0.35">
      <c r="A61" s="689"/>
      <c r="B61" s="609"/>
      <c r="C61" s="46">
        <v>1.3460000000000001</v>
      </c>
      <c r="D61" s="46">
        <v>2.0190000000000001</v>
      </c>
      <c r="E61" s="646"/>
      <c r="F61" s="634"/>
      <c r="G61" s="634"/>
      <c r="H61" s="38"/>
      <c r="I61" s="20"/>
      <c r="J61" s="20"/>
      <c r="K61" s="20"/>
      <c r="L61" s="20"/>
      <c r="M61" s="20"/>
      <c r="N61" s="20"/>
      <c r="O61" s="20"/>
      <c r="P61" s="20"/>
      <c r="Q61" s="20"/>
      <c r="R61" s="20">
        <v>70960070103</v>
      </c>
      <c r="S61" s="634"/>
      <c r="T61" s="634"/>
      <c r="U61" s="745"/>
    </row>
    <row r="62" spans="1:21" ht="15.6" customHeight="1" x14ac:dyDescent="0.3">
      <c r="A62" s="688" t="s">
        <v>3854</v>
      </c>
      <c r="B62" s="607" t="s">
        <v>3855</v>
      </c>
      <c r="C62" s="645">
        <v>0</v>
      </c>
      <c r="D62" s="645">
        <v>1.1100000000000001</v>
      </c>
      <c r="E62" s="645">
        <v>1.1100000000000001</v>
      </c>
      <c r="F62" s="641">
        <v>6714</v>
      </c>
      <c r="G62" s="641" t="s">
        <v>32</v>
      </c>
      <c r="H62" s="649"/>
      <c r="I62" s="641"/>
      <c r="J62" s="641"/>
      <c r="K62" s="641"/>
      <c r="L62" s="641"/>
      <c r="M62" s="641"/>
      <c r="N62" s="641"/>
      <c r="O62" s="641"/>
      <c r="P62" s="641"/>
      <c r="Q62" s="641"/>
      <c r="R62" s="641">
        <v>70960010138</v>
      </c>
      <c r="S62" s="641"/>
      <c r="T62" s="641" t="s">
        <v>2485</v>
      </c>
      <c r="U62" s="744"/>
    </row>
    <row r="63" spans="1:21" ht="15" thickBot="1" x14ac:dyDescent="0.35">
      <c r="A63" s="689"/>
      <c r="B63" s="609"/>
      <c r="C63" s="646"/>
      <c r="D63" s="646"/>
      <c r="E63" s="646"/>
      <c r="F63" s="634"/>
      <c r="G63" s="634"/>
      <c r="H63" s="650"/>
      <c r="I63" s="634"/>
      <c r="J63" s="634"/>
      <c r="K63" s="634"/>
      <c r="L63" s="634"/>
      <c r="M63" s="634"/>
      <c r="N63" s="634"/>
      <c r="O63" s="634"/>
      <c r="P63" s="634"/>
      <c r="Q63" s="634"/>
      <c r="R63" s="634"/>
      <c r="S63" s="634"/>
      <c r="T63" s="634"/>
      <c r="U63" s="745"/>
    </row>
    <row r="64" spans="1:21" ht="24.6" thickBot="1" x14ac:dyDescent="0.35">
      <c r="A64" s="69" t="s">
        <v>3856</v>
      </c>
      <c r="B64" s="23" t="s">
        <v>3857</v>
      </c>
      <c r="C64" s="41">
        <v>0</v>
      </c>
      <c r="D64" s="41">
        <v>0.75</v>
      </c>
      <c r="E64" s="41">
        <v>0.75</v>
      </c>
      <c r="F64" s="3">
        <v>4440</v>
      </c>
      <c r="G64" s="3" t="s">
        <v>32</v>
      </c>
      <c r="H64" s="26"/>
      <c r="I64" s="3"/>
      <c r="J64" s="3"/>
      <c r="K64" s="3"/>
      <c r="L64" s="3"/>
      <c r="M64" s="3"/>
      <c r="N64" s="3"/>
      <c r="O64" s="3"/>
      <c r="P64" s="3"/>
      <c r="Q64" s="3"/>
      <c r="R64" s="3">
        <v>70960060087</v>
      </c>
      <c r="S64" s="3"/>
      <c r="T64" s="3" t="s">
        <v>2485</v>
      </c>
      <c r="U64" s="110"/>
    </row>
    <row r="65" spans="1:21" x14ac:dyDescent="0.3">
      <c r="A65" s="688" t="s">
        <v>3858</v>
      </c>
      <c r="B65" s="607" t="s">
        <v>3859</v>
      </c>
      <c r="C65" s="43">
        <v>0</v>
      </c>
      <c r="D65" s="43">
        <v>3.01</v>
      </c>
      <c r="E65" s="645">
        <v>5.33</v>
      </c>
      <c r="F65" s="641">
        <v>31980</v>
      </c>
      <c r="G65" s="641" t="s">
        <v>32</v>
      </c>
      <c r="H65" s="36"/>
      <c r="I65" s="33"/>
      <c r="J65" s="33"/>
      <c r="K65" s="33"/>
      <c r="L65" s="33"/>
      <c r="M65" s="33"/>
      <c r="N65" s="33"/>
      <c r="O65" s="33"/>
      <c r="P65" s="33"/>
      <c r="Q65" s="33"/>
      <c r="R65" s="33">
        <v>70960070109</v>
      </c>
      <c r="S65" s="641"/>
      <c r="T65" s="641" t="s">
        <v>2485</v>
      </c>
      <c r="U65" s="744"/>
    </row>
    <row r="66" spans="1:21" x14ac:dyDescent="0.3">
      <c r="A66" s="690"/>
      <c r="B66" s="608"/>
      <c r="C66" s="48">
        <v>3.01</v>
      </c>
      <c r="D66" s="48">
        <v>4.21</v>
      </c>
      <c r="E66" s="654"/>
      <c r="F66" s="633"/>
      <c r="G66" s="633"/>
      <c r="H66" s="37"/>
      <c r="I66" s="14"/>
      <c r="J66" s="14"/>
      <c r="K66" s="14"/>
      <c r="L66" s="14"/>
      <c r="M66" s="14"/>
      <c r="N66" s="14"/>
      <c r="O66" s="14"/>
      <c r="P66" s="14"/>
      <c r="Q66" s="14"/>
      <c r="R66" s="14">
        <v>70960080044</v>
      </c>
      <c r="S66" s="633"/>
      <c r="T66" s="633"/>
      <c r="U66" s="750"/>
    </row>
    <row r="67" spans="1:21" ht="15" customHeight="1" thickBot="1" x14ac:dyDescent="0.35">
      <c r="A67" s="689"/>
      <c r="B67" s="609"/>
      <c r="C67" s="46">
        <v>4.21</v>
      </c>
      <c r="D67" s="46">
        <v>5.3250000000000002</v>
      </c>
      <c r="E67" s="646"/>
      <c r="F67" s="634"/>
      <c r="G67" s="634"/>
      <c r="H67" s="38"/>
      <c r="I67" s="20"/>
      <c r="J67" s="20"/>
      <c r="K67" s="20"/>
      <c r="L67" s="20"/>
      <c r="M67" s="20"/>
      <c r="N67" s="20"/>
      <c r="O67" s="20"/>
      <c r="P67" s="20"/>
      <c r="Q67" s="20"/>
      <c r="R67" s="20">
        <v>70960040088</v>
      </c>
      <c r="S67" s="634"/>
      <c r="T67" s="634"/>
      <c r="U67" s="745"/>
    </row>
    <row r="68" spans="1:21" x14ac:dyDescent="0.3">
      <c r="A68" s="688" t="s">
        <v>3860</v>
      </c>
      <c r="B68" s="607" t="s">
        <v>3861</v>
      </c>
      <c r="C68" s="645">
        <v>0</v>
      </c>
      <c r="D68" s="645">
        <v>1.6859999999999999</v>
      </c>
      <c r="E68" s="645">
        <v>1.69</v>
      </c>
      <c r="F68" s="641">
        <v>8490</v>
      </c>
      <c r="G68" s="641" t="s">
        <v>32</v>
      </c>
      <c r="H68" s="649"/>
      <c r="I68" s="641"/>
      <c r="J68" s="641"/>
      <c r="K68" s="641"/>
      <c r="L68" s="641"/>
      <c r="M68" s="641"/>
      <c r="N68" s="641"/>
      <c r="O68" s="641"/>
      <c r="P68" s="641"/>
      <c r="Q68" s="641"/>
      <c r="R68" s="641">
        <v>70960050073</v>
      </c>
      <c r="S68" s="641"/>
      <c r="T68" s="641" t="s">
        <v>2485</v>
      </c>
      <c r="U68" s="744"/>
    </row>
    <row r="69" spans="1:21" ht="15" thickBot="1" x14ac:dyDescent="0.35">
      <c r="A69" s="689"/>
      <c r="B69" s="609"/>
      <c r="C69" s="646"/>
      <c r="D69" s="646"/>
      <c r="E69" s="646"/>
      <c r="F69" s="634"/>
      <c r="G69" s="634"/>
      <c r="H69" s="650"/>
      <c r="I69" s="634"/>
      <c r="J69" s="634"/>
      <c r="K69" s="634"/>
      <c r="L69" s="634"/>
      <c r="M69" s="634"/>
      <c r="N69" s="634"/>
      <c r="O69" s="634"/>
      <c r="P69" s="634"/>
      <c r="Q69" s="634"/>
      <c r="R69" s="634"/>
      <c r="S69" s="634"/>
      <c r="T69" s="634"/>
      <c r="U69" s="745"/>
    </row>
    <row r="70" spans="1:21" ht="14.4" customHeight="1" x14ac:dyDescent="0.3">
      <c r="A70" s="688" t="s">
        <v>3862</v>
      </c>
      <c r="B70" s="607" t="s">
        <v>3863</v>
      </c>
      <c r="C70" s="43">
        <v>0</v>
      </c>
      <c r="D70" s="43">
        <v>0.25900000000000001</v>
      </c>
      <c r="E70" s="645">
        <v>1.9770000000000001</v>
      </c>
      <c r="F70" s="641">
        <v>4095</v>
      </c>
      <c r="G70" s="641" t="s">
        <v>32</v>
      </c>
      <c r="H70" s="36"/>
      <c r="I70" s="33"/>
      <c r="J70" s="33"/>
      <c r="K70" s="33"/>
      <c r="L70" s="33"/>
      <c r="M70" s="33"/>
      <c r="N70" s="33"/>
      <c r="O70" s="33"/>
      <c r="P70" s="33"/>
      <c r="Q70" s="33"/>
      <c r="R70" s="33">
        <v>70960050070</v>
      </c>
      <c r="S70" s="641"/>
      <c r="T70" s="641" t="s">
        <v>2485</v>
      </c>
      <c r="U70" s="642" t="s">
        <v>67</v>
      </c>
    </row>
    <row r="71" spans="1:21" x14ac:dyDescent="0.3">
      <c r="A71" s="690"/>
      <c r="B71" s="608"/>
      <c r="C71" s="48">
        <v>0.26</v>
      </c>
      <c r="D71" s="48">
        <v>0.61</v>
      </c>
      <c r="E71" s="654"/>
      <c r="F71" s="633"/>
      <c r="G71" s="633"/>
      <c r="H71" s="37"/>
      <c r="I71" s="14"/>
      <c r="J71" s="14"/>
      <c r="K71" s="14"/>
      <c r="L71" s="14"/>
      <c r="M71" s="14"/>
      <c r="N71" s="14"/>
      <c r="O71" s="14"/>
      <c r="P71" s="14"/>
      <c r="Q71" s="14"/>
      <c r="R71" s="14">
        <v>70540110084</v>
      </c>
      <c r="S71" s="633"/>
      <c r="T71" s="633"/>
      <c r="U71" s="636"/>
    </row>
    <row r="72" spans="1:21" ht="36" x14ac:dyDescent="0.3">
      <c r="A72" s="690"/>
      <c r="B72" s="608"/>
      <c r="C72" s="48">
        <v>0.61</v>
      </c>
      <c r="D72" s="48">
        <v>1.1599999999999999</v>
      </c>
      <c r="E72" s="654"/>
      <c r="F72" s="633"/>
      <c r="G72" s="633"/>
      <c r="H72" s="37"/>
      <c r="I72" s="14"/>
      <c r="J72" s="14"/>
      <c r="K72" s="14"/>
      <c r="L72" s="14"/>
      <c r="M72" s="14"/>
      <c r="N72" s="14"/>
      <c r="O72" s="14"/>
      <c r="P72" s="14"/>
      <c r="Q72" s="14"/>
      <c r="R72" s="14" t="s">
        <v>3864</v>
      </c>
      <c r="S72" s="633"/>
      <c r="T72" s="633"/>
      <c r="U72" s="636"/>
    </row>
    <row r="73" spans="1:21" ht="15" customHeight="1" thickBot="1" x14ac:dyDescent="0.35">
      <c r="A73" s="689"/>
      <c r="B73" s="609"/>
      <c r="C73" s="46">
        <v>1.1599999999999999</v>
      </c>
      <c r="D73" s="46">
        <v>1.98</v>
      </c>
      <c r="E73" s="646"/>
      <c r="F73" s="634"/>
      <c r="G73" s="634"/>
      <c r="H73" s="38"/>
      <c r="I73" s="20"/>
      <c r="J73" s="20"/>
      <c r="K73" s="20"/>
      <c r="L73" s="20"/>
      <c r="M73" s="20"/>
      <c r="N73" s="20"/>
      <c r="O73" s="20"/>
      <c r="P73" s="20"/>
      <c r="Q73" s="20"/>
      <c r="R73" s="20">
        <v>70960050072</v>
      </c>
      <c r="S73" s="634"/>
      <c r="T73" s="634"/>
      <c r="U73" s="637"/>
    </row>
    <row r="74" spans="1:21" ht="15.75" customHeight="1" x14ac:dyDescent="0.3">
      <c r="A74" s="688" t="s">
        <v>3865</v>
      </c>
      <c r="B74" s="607" t="s">
        <v>3866</v>
      </c>
      <c r="C74" s="645">
        <v>0</v>
      </c>
      <c r="D74" s="645">
        <v>2.3570000000000002</v>
      </c>
      <c r="E74" s="645">
        <v>2.36</v>
      </c>
      <c r="F74" s="641">
        <v>11800</v>
      </c>
      <c r="G74" s="641" t="s">
        <v>32</v>
      </c>
      <c r="H74" s="649"/>
      <c r="I74" s="641"/>
      <c r="J74" s="641"/>
      <c r="K74" s="641"/>
      <c r="L74" s="641"/>
      <c r="M74" s="641"/>
      <c r="N74" s="641"/>
      <c r="O74" s="641"/>
      <c r="P74" s="641"/>
      <c r="Q74" s="641"/>
      <c r="R74" s="641">
        <v>70960040121</v>
      </c>
      <c r="S74" s="641"/>
      <c r="T74" s="641" t="s">
        <v>2485</v>
      </c>
      <c r="U74" s="642" t="s">
        <v>67</v>
      </c>
    </row>
    <row r="75" spans="1:21" ht="15" thickBot="1" x14ac:dyDescent="0.35">
      <c r="A75" s="689"/>
      <c r="B75" s="609"/>
      <c r="C75" s="646"/>
      <c r="D75" s="646"/>
      <c r="E75" s="646"/>
      <c r="F75" s="634"/>
      <c r="G75" s="634"/>
      <c r="H75" s="650"/>
      <c r="I75" s="634"/>
      <c r="J75" s="634"/>
      <c r="K75" s="634"/>
      <c r="L75" s="634"/>
      <c r="M75" s="634"/>
      <c r="N75" s="634"/>
      <c r="O75" s="634"/>
      <c r="P75" s="634"/>
      <c r="Q75" s="634"/>
      <c r="R75" s="634"/>
      <c r="S75" s="634"/>
      <c r="T75" s="634"/>
      <c r="U75" s="637"/>
    </row>
    <row r="76" spans="1:21" ht="24.6" thickBot="1" x14ac:dyDescent="0.35">
      <c r="A76" s="69" t="s">
        <v>3867</v>
      </c>
      <c r="B76" s="23" t="s">
        <v>3868</v>
      </c>
      <c r="C76" s="41">
        <v>0</v>
      </c>
      <c r="D76" s="41">
        <v>0.29699999999999999</v>
      </c>
      <c r="E76" s="41">
        <v>0.3</v>
      </c>
      <c r="F76" s="3">
        <v>2100</v>
      </c>
      <c r="G76" s="3" t="s">
        <v>32</v>
      </c>
      <c r="H76" s="26"/>
      <c r="I76" s="3"/>
      <c r="J76" s="3"/>
      <c r="K76" s="3"/>
      <c r="L76" s="3"/>
      <c r="M76" s="3"/>
      <c r="N76" s="3"/>
      <c r="O76" s="3"/>
      <c r="P76" s="3"/>
      <c r="Q76" s="3"/>
      <c r="R76" s="3">
        <v>70960070106</v>
      </c>
      <c r="S76" s="3"/>
      <c r="T76" s="3" t="s">
        <v>2485</v>
      </c>
      <c r="U76" s="110"/>
    </row>
    <row r="77" spans="1:21" x14ac:dyDescent="0.3">
      <c r="A77" s="688" t="s">
        <v>3869</v>
      </c>
      <c r="B77" s="607" t="s">
        <v>3870</v>
      </c>
      <c r="C77" s="43">
        <v>0</v>
      </c>
      <c r="D77" s="43">
        <v>0.32</v>
      </c>
      <c r="E77" s="645">
        <v>0.91</v>
      </c>
      <c r="F77" s="641">
        <v>4585</v>
      </c>
      <c r="G77" s="641" t="s">
        <v>32</v>
      </c>
      <c r="H77" s="36"/>
      <c r="I77" s="33"/>
      <c r="J77" s="33"/>
      <c r="K77" s="33"/>
      <c r="L77" s="33"/>
      <c r="M77" s="33"/>
      <c r="N77" s="33"/>
      <c r="O77" s="33"/>
      <c r="P77" s="33"/>
      <c r="Q77" s="33"/>
      <c r="R77" s="33">
        <v>70960040089</v>
      </c>
      <c r="S77" s="641"/>
      <c r="T77" s="641" t="s">
        <v>2485</v>
      </c>
      <c r="U77" s="642"/>
    </row>
    <row r="78" spans="1:21" ht="16.2" customHeight="1" x14ac:dyDescent="0.3">
      <c r="A78" s="690"/>
      <c r="B78" s="608"/>
      <c r="C78" s="48">
        <v>0.32</v>
      </c>
      <c r="D78" s="48">
        <v>0.64</v>
      </c>
      <c r="E78" s="654"/>
      <c r="F78" s="633"/>
      <c r="G78" s="633"/>
      <c r="H78" s="37"/>
      <c r="I78" s="14"/>
      <c r="J78" s="14"/>
      <c r="K78" s="14"/>
      <c r="L78" s="14"/>
      <c r="M78" s="14"/>
      <c r="N78" s="14"/>
      <c r="O78" s="14"/>
      <c r="P78" s="14"/>
      <c r="Q78" s="14"/>
      <c r="R78" s="14">
        <v>70960040100</v>
      </c>
      <c r="S78" s="633"/>
      <c r="T78" s="633"/>
      <c r="U78" s="636"/>
    </row>
    <row r="79" spans="1:21" ht="15" customHeight="1" thickBot="1" x14ac:dyDescent="0.35">
      <c r="A79" s="689"/>
      <c r="B79" s="609"/>
      <c r="C79" s="46">
        <v>0.64</v>
      </c>
      <c r="D79" s="46">
        <v>0.91</v>
      </c>
      <c r="E79" s="646"/>
      <c r="F79" s="634"/>
      <c r="G79" s="634"/>
      <c r="H79" s="38"/>
      <c r="I79" s="20"/>
      <c r="J79" s="20"/>
      <c r="K79" s="20"/>
      <c r="L79" s="20"/>
      <c r="M79" s="20"/>
      <c r="N79" s="20"/>
      <c r="O79" s="20"/>
      <c r="P79" s="20"/>
      <c r="Q79" s="20"/>
      <c r="R79" s="20">
        <v>70960040126</v>
      </c>
      <c r="S79" s="634"/>
      <c r="T79" s="634"/>
      <c r="U79" s="637"/>
    </row>
    <row r="80" spans="1:21" ht="24.6" thickBot="1" x14ac:dyDescent="0.35">
      <c r="A80" s="69" t="s">
        <v>3871</v>
      </c>
      <c r="B80" s="23" t="s">
        <v>3872</v>
      </c>
      <c r="C80" s="41">
        <v>0</v>
      </c>
      <c r="D80" s="41">
        <v>0.44</v>
      </c>
      <c r="E80" s="41">
        <v>0.44</v>
      </c>
      <c r="F80" s="3">
        <v>2250</v>
      </c>
      <c r="G80" s="3" t="s">
        <v>32</v>
      </c>
      <c r="H80" s="26"/>
      <c r="I80" s="3"/>
      <c r="J80" s="3"/>
      <c r="K80" s="3"/>
      <c r="L80" s="3"/>
      <c r="M80" s="3"/>
      <c r="N80" s="3"/>
      <c r="O80" s="3"/>
      <c r="P80" s="3"/>
      <c r="Q80" s="3"/>
      <c r="R80" s="3">
        <v>70960060092</v>
      </c>
      <c r="S80" s="3"/>
      <c r="T80" s="3" t="s">
        <v>2485</v>
      </c>
      <c r="U80" s="110"/>
    </row>
    <row r="81" spans="1:21" ht="24.6" thickBot="1" x14ac:dyDescent="0.35">
      <c r="A81" s="69" t="s">
        <v>3873</v>
      </c>
      <c r="B81" s="23" t="s">
        <v>3874</v>
      </c>
      <c r="C81" s="41">
        <v>0</v>
      </c>
      <c r="D81" s="41">
        <v>1.3129999999999999</v>
      </c>
      <c r="E81" s="41">
        <v>1.31</v>
      </c>
      <c r="F81" s="3">
        <v>6150</v>
      </c>
      <c r="G81" s="3" t="s">
        <v>32</v>
      </c>
      <c r="H81" s="26"/>
      <c r="I81" s="3"/>
      <c r="J81" s="3"/>
      <c r="K81" s="3"/>
      <c r="L81" s="3"/>
      <c r="M81" s="3"/>
      <c r="N81" s="3"/>
      <c r="O81" s="3"/>
      <c r="P81" s="3"/>
      <c r="Q81" s="3"/>
      <c r="R81" s="3">
        <v>70960060091</v>
      </c>
      <c r="S81" s="3"/>
      <c r="T81" s="3" t="s">
        <v>2485</v>
      </c>
      <c r="U81" s="110"/>
    </row>
    <row r="82" spans="1:21" ht="14.4" customHeight="1" x14ac:dyDescent="0.3">
      <c r="A82" s="688" t="s">
        <v>3875</v>
      </c>
      <c r="B82" s="607" t="s">
        <v>3876</v>
      </c>
      <c r="C82" s="43">
        <v>0</v>
      </c>
      <c r="D82" s="43">
        <v>0.21</v>
      </c>
      <c r="E82" s="645">
        <v>1.95</v>
      </c>
      <c r="F82" s="641">
        <v>9750</v>
      </c>
      <c r="G82" s="641" t="s">
        <v>32</v>
      </c>
      <c r="H82" s="36"/>
      <c r="I82" s="33"/>
      <c r="J82" s="33"/>
      <c r="K82" s="33"/>
      <c r="L82" s="33"/>
      <c r="M82" s="33"/>
      <c r="N82" s="33"/>
      <c r="O82" s="33"/>
      <c r="P82" s="33"/>
      <c r="Q82" s="33"/>
      <c r="R82" s="33">
        <v>70960060120</v>
      </c>
      <c r="S82" s="641"/>
      <c r="T82" s="641" t="s">
        <v>2485</v>
      </c>
      <c r="U82" s="744"/>
    </row>
    <row r="83" spans="1:21" x14ac:dyDescent="0.3">
      <c r="A83" s="690"/>
      <c r="B83" s="608"/>
      <c r="C83" s="48">
        <v>0.21</v>
      </c>
      <c r="D83" s="48">
        <v>0.71599999999999997</v>
      </c>
      <c r="E83" s="654"/>
      <c r="F83" s="633"/>
      <c r="G83" s="633"/>
      <c r="H83" s="37"/>
      <c r="I83" s="14"/>
      <c r="J83" s="14"/>
      <c r="K83" s="14"/>
      <c r="L83" s="14"/>
      <c r="M83" s="14"/>
      <c r="N83" s="14"/>
      <c r="O83" s="14"/>
      <c r="P83" s="14"/>
      <c r="Q83" s="14"/>
      <c r="R83" s="14" t="s">
        <v>3877</v>
      </c>
      <c r="S83" s="633"/>
      <c r="T83" s="633"/>
      <c r="U83" s="750"/>
    </row>
    <row r="84" spans="1:21" x14ac:dyDescent="0.3">
      <c r="A84" s="690"/>
      <c r="B84" s="608"/>
      <c r="C84" s="48">
        <v>0.71599999999999997</v>
      </c>
      <c r="D84" s="48">
        <v>1.53</v>
      </c>
      <c r="E84" s="654"/>
      <c r="F84" s="633"/>
      <c r="G84" s="633"/>
      <c r="H84" s="37"/>
      <c r="I84" s="14"/>
      <c r="J84" s="14"/>
      <c r="K84" s="14"/>
      <c r="L84" s="14"/>
      <c r="M84" s="14"/>
      <c r="N84" s="14"/>
      <c r="O84" s="14"/>
      <c r="P84" s="14"/>
      <c r="Q84" s="14"/>
      <c r="R84" s="14">
        <v>70960090081</v>
      </c>
      <c r="S84" s="633"/>
      <c r="T84" s="633"/>
      <c r="U84" s="750"/>
    </row>
    <row r="85" spans="1:21" ht="14.4" customHeight="1" x14ac:dyDescent="0.3">
      <c r="A85" s="690"/>
      <c r="B85" s="608"/>
      <c r="C85" s="48">
        <v>1.53</v>
      </c>
      <c r="D85" s="48">
        <v>1.6659999999999999</v>
      </c>
      <c r="E85" s="654"/>
      <c r="F85" s="633"/>
      <c r="G85" s="633"/>
      <c r="H85" s="37"/>
      <c r="I85" s="14"/>
      <c r="J85" s="14"/>
      <c r="K85" s="14"/>
      <c r="L85" s="14"/>
      <c r="M85" s="14"/>
      <c r="N85" s="14"/>
      <c r="O85" s="14"/>
      <c r="P85" s="14"/>
      <c r="Q85" s="14"/>
      <c r="R85" s="14" t="s">
        <v>3878</v>
      </c>
      <c r="S85" s="633"/>
      <c r="T85" s="633"/>
      <c r="U85" s="750"/>
    </row>
    <row r="86" spans="1:21" x14ac:dyDescent="0.3">
      <c r="A86" s="690"/>
      <c r="B86" s="608"/>
      <c r="C86" s="48">
        <v>1.6659999999999999</v>
      </c>
      <c r="D86" s="48">
        <v>1.732</v>
      </c>
      <c r="E86" s="654"/>
      <c r="F86" s="633"/>
      <c r="G86" s="633"/>
      <c r="H86" s="37"/>
      <c r="I86" s="14"/>
      <c r="J86" s="14"/>
      <c r="K86" s="14"/>
      <c r="L86" s="14"/>
      <c r="M86" s="14"/>
      <c r="N86" s="14"/>
      <c r="O86" s="14"/>
      <c r="P86" s="14"/>
      <c r="Q86" s="14"/>
      <c r="R86" s="14">
        <v>70960090083</v>
      </c>
      <c r="S86" s="633"/>
      <c r="T86" s="633"/>
      <c r="U86" s="750"/>
    </row>
    <row r="87" spans="1:21" ht="15" thickBot="1" x14ac:dyDescent="0.35">
      <c r="A87" s="689"/>
      <c r="B87" s="609"/>
      <c r="C87" s="46">
        <v>1.732</v>
      </c>
      <c r="D87" s="46">
        <v>1.948</v>
      </c>
      <c r="E87" s="646"/>
      <c r="F87" s="634"/>
      <c r="G87" s="634"/>
      <c r="H87" s="38"/>
      <c r="I87" s="20"/>
      <c r="J87" s="20"/>
      <c r="K87" s="20"/>
      <c r="L87" s="20"/>
      <c r="M87" s="20"/>
      <c r="N87" s="20"/>
      <c r="O87" s="20"/>
      <c r="P87" s="20"/>
      <c r="Q87" s="20"/>
      <c r="R87" s="20" t="s">
        <v>3879</v>
      </c>
      <c r="S87" s="634"/>
      <c r="T87" s="634"/>
      <c r="U87" s="745"/>
    </row>
    <row r="88" spans="1:21" x14ac:dyDescent="0.3">
      <c r="A88" s="688" t="s">
        <v>3880</v>
      </c>
      <c r="B88" s="607" t="s">
        <v>3881</v>
      </c>
      <c r="C88" s="43">
        <v>0</v>
      </c>
      <c r="D88" s="43">
        <v>0.23499999999999999</v>
      </c>
      <c r="E88" s="645">
        <v>0.46</v>
      </c>
      <c r="F88" s="641">
        <v>2290</v>
      </c>
      <c r="G88" s="641" t="s">
        <v>32</v>
      </c>
      <c r="H88" s="36"/>
      <c r="I88" s="33"/>
      <c r="J88" s="33"/>
      <c r="K88" s="33"/>
      <c r="L88" s="33"/>
      <c r="M88" s="33"/>
      <c r="N88" s="33"/>
      <c r="O88" s="33"/>
      <c r="P88" s="33"/>
      <c r="Q88" s="33"/>
      <c r="R88" s="33" t="s">
        <v>3882</v>
      </c>
      <c r="S88" s="641"/>
      <c r="T88" s="641" t="s">
        <v>2485</v>
      </c>
      <c r="U88" s="744"/>
    </row>
    <row r="89" spans="1:21" x14ac:dyDescent="0.3">
      <c r="A89" s="690"/>
      <c r="B89" s="608"/>
      <c r="C89" s="48">
        <v>0.23499999999999999</v>
      </c>
      <c r="D89" s="48">
        <v>0.39</v>
      </c>
      <c r="E89" s="654"/>
      <c r="F89" s="633"/>
      <c r="G89" s="633"/>
      <c r="H89" s="37"/>
      <c r="I89" s="14"/>
      <c r="J89" s="14"/>
      <c r="K89" s="14"/>
      <c r="L89" s="14"/>
      <c r="M89" s="14"/>
      <c r="N89" s="14"/>
      <c r="O89" s="14"/>
      <c r="P89" s="14"/>
      <c r="Q89" s="14"/>
      <c r="R89" s="14" t="s">
        <v>3883</v>
      </c>
      <c r="S89" s="633"/>
      <c r="T89" s="633"/>
      <c r="U89" s="750"/>
    </row>
    <row r="90" spans="1:21" ht="15" thickBot="1" x14ac:dyDescent="0.35">
      <c r="A90" s="689"/>
      <c r="B90" s="609"/>
      <c r="C90" s="46">
        <v>0.39</v>
      </c>
      <c r="D90" s="46">
        <v>0.45800000000000002</v>
      </c>
      <c r="E90" s="646"/>
      <c r="F90" s="634"/>
      <c r="G90" s="634"/>
      <c r="H90" s="38"/>
      <c r="I90" s="20"/>
      <c r="J90" s="20"/>
      <c r="K90" s="20"/>
      <c r="L90" s="20"/>
      <c r="M90" s="20"/>
      <c r="N90" s="20"/>
      <c r="O90" s="20"/>
      <c r="P90" s="20"/>
      <c r="Q90" s="20"/>
      <c r="R90" s="20" t="s">
        <v>3884</v>
      </c>
      <c r="S90" s="634"/>
      <c r="T90" s="634"/>
      <c r="U90" s="745"/>
    </row>
    <row r="91" spans="1:21" ht="14.4" customHeight="1" x14ac:dyDescent="0.3">
      <c r="A91" s="688" t="s">
        <v>3885</v>
      </c>
      <c r="B91" s="607" t="s">
        <v>3886</v>
      </c>
      <c r="C91" s="43">
        <v>0</v>
      </c>
      <c r="D91" s="43">
        <v>5.6000000000000001E-2</v>
      </c>
      <c r="E91" s="645">
        <v>1</v>
      </c>
      <c r="F91" s="641">
        <v>5100</v>
      </c>
      <c r="G91" s="641" t="s">
        <v>32</v>
      </c>
      <c r="H91" s="36"/>
      <c r="I91" s="33"/>
      <c r="J91" s="33"/>
      <c r="K91" s="33"/>
      <c r="L91" s="33"/>
      <c r="M91" s="33"/>
      <c r="N91" s="33"/>
      <c r="O91" s="33"/>
      <c r="P91" s="33"/>
      <c r="Q91" s="33"/>
      <c r="R91" s="33" t="s">
        <v>3887</v>
      </c>
      <c r="S91" s="641"/>
      <c r="T91" s="641" t="s">
        <v>2485</v>
      </c>
      <c r="U91" s="642"/>
    </row>
    <row r="92" spans="1:21" x14ac:dyDescent="0.3">
      <c r="A92" s="690"/>
      <c r="B92" s="608"/>
      <c r="C92" s="48">
        <v>5.6000000000000001E-2</v>
      </c>
      <c r="D92" s="48">
        <v>0.17</v>
      </c>
      <c r="E92" s="654"/>
      <c r="F92" s="633"/>
      <c r="G92" s="633"/>
      <c r="H92" s="37"/>
      <c r="I92" s="14"/>
      <c r="J92" s="14"/>
      <c r="K92" s="14"/>
      <c r="L92" s="14"/>
      <c r="M92" s="14"/>
      <c r="N92" s="14"/>
      <c r="O92" s="14"/>
      <c r="P92" s="14"/>
      <c r="Q92" s="14"/>
      <c r="R92" s="14" t="s">
        <v>3888</v>
      </c>
      <c r="S92" s="633"/>
      <c r="T92" s="633"/>
      <c r="U92" s="636"/>
    </row>
    <row r="93" spans="1:21" x14ac:dyDescent="0.3">
      <c r="A93" s="690"/>
      <c r="B93" s="608"/>
      <c r="C93" s="48">
        <v>0.17</v>
      </c>
      <c r="D93" s="48">
        <v>0.3</v>
      </c>
      <c r="E93" s="654"/>
      <c r="F93" s="633"/>
      <c r="G93" s="633"/>
      <c r="H93" s="37"/>
      <c r="I93" s="14"/>
      <c r="J93" s="14"/>
      <c r="K93" s="14"/>
      <c r="L93" s="14"/>
      <c r="M93" s="14"/>
      <c r="N93" s="14"/>
      <c r="O93" s="14"/>
      <c r="P93" s="14"/>
      <c r="Q93" s="14"/>
      <c r="R93" s="14" t="s">
        <v>3889</v>
      </c>
      <c r="S93" s="633"/>
      <c r="T93" s="633"/>
      <c r="U93" s="636"/>
    </row>
    <row r="94" spans="1:21" ht="14.4" customHeight="1" x14ac:dyDescent="0.3">
      <c r="A94" s="690"/>
      <c r="B94" s="608"/>
      <c r="C94" s="48">
        <v>0.3</v>
      </c>
      <c r="D94" s="48">
        <v>0.56999999999999995</v>
      </c>
      <c r="E94" s="654"/>
      <c r="F94" s="633"/>
      <c r="G94" s="633"/>
      <c r="H94" s="37"/>
      <c r="I94" s="14"/>
      <c r="J94" s="14"/>
      <c r="K94" s="14"/>
      <c r="L94" s="14"/>
      <c r="M94" s="14"/>
      <c r="N94" s="14"/>
      <c r="O94" s="14"/>
      <c r="P94" s="14"/>
      <c r="Q94" s="14"/>
      <c r="R94" s="14" t="s">
        <v>3890</v>
      </c>
      <c r="S94" s="633"/>
      <c r="T94" s="633"/>
      <c r="U94" s="636"/>
    </row>
    <row r="95" spans="1:21" x14ac:dyDescent="0.3">
      <c r="A95" s="690"/>
      <c r="B95" s="608"/>
      <c r="C95" s="48">
        <v>0.56999999999999995</v>
      </c>
      <c r="D95" s="48">
        <v>0.82</v>
      </c>
      <c r="E95" s="654"/>
      <c r="F95" s="633"/>
      <c r="G95" s="633"/>
      <c r="H95" s="37"/>
      <c r="I95" s="14"/>
      <c r="J95" s="14"/>
      <c r="K95" s="14"/>
      <c r="L95" s="14"/>
      <c r="M95" s="14"/>
      <c r="N95" s="14"/>
      <c r="O95" s="14"/>
      <c r="P95" s="14"/>
      <c r="Q95" s="14"/>
      <c r="R95" s="14" t="s">
        <v>3888</v>
      </c>
      <c r="S95" s="633"/>
      <c r="T95" s="633"/>
      <c r="U95" s="636"/>
    </row>
    <row r="96" spans="1:21" ht="15" thickBot="1" x14ac:dyDescent="0.35">
      <c r="A96" s="689"/>
      <c r="B96" s="609"/>
      <c r="C96" s="46">
        <v>0.82</v>
      </c>
      <c r="D96" s="46">
        <v>1</v>
      </c>
      <c r="E96" s="646"/>
      <c r="F96" s="634"/>
      <c r="G96" s="634"/>
      <c r="H96" s="38"/>
      <c r="I96" s="20"/>
      <c r="J96" s="20"/>
      <c r="K96" s="20"/>
      <c r="L96" s="20"/>
      <c r="M96" s="20"/>
      <c r="N96" s="20"/>
      <c r="O96" s="20"/>
      <c r="P96" s="20"/>
      <c r="Q96" s="20"/>
      <c r="R96" s="20" t="s">
        <v>3891</v>
      </c>
      <c r="S96" s="634"/>
      <c r="T96" s="634"/>
      <c r="U96" s="637"/>
    </row>
    <row r="97" spans="1:21" ht="14.4" customHeight="1" x14ac:dyDescent="0.3">
      <c r="A97" s="688" t="s">
        <v>3892</v>
      </c>
      <c r="B97" s="607" t="s">
        <v>3893</v>
      </c>
      <c r="C97" s="43">
        <v>0</v>
      </c>
      <c r="D97" s="43">
        <v>0.218</v>
      </c>
      <c r="E97" s="645">
        <v>0.94</v>
      </c>
      <c r="F97" s="641">
        <v>4700</v>
      </c>
      <c r="G97" s="641" t="s">
        <v>32</v>
      </c>
      <c r="H97" s="36"/>
      <c r="I97" s="33"/>
      <c r="J97" s="33"/>
      <c r="K97" s="33"/>
      <c r="L97" s="33"/>
      <c r="M97" s="33"/>
      <c r="N97" s="33"/>
      <c r="O97" s="33"/>
      <c r="P97" s="33"/>
      <c r="Q97" s="33"/>
      <c r="R97" s="33" t="s">
        <v>3894</v>
      </c>
      <c r="S97" s="641"/>
      <c r="T97" s="641" t="s">
        <v>2485</v>
      </c>
      <c r="U97" s="744"/>
    </row>
    <row r="98" spans="1:21" x14ac:dyDescent="0.3">
      <c r="A98" s="690"/>
      <c r="B98" s="608"/>
      <c r="C98" s="48">
        <v>0.218</v>
      </c>
      <c r="D98" s="48">
        <v>0.28299999999999997</v>
      </c>
      <c r="E98" s="654"/>
      <c r="F98" s="633"/>
      <c r="G98" s="633"/>
      <c r="H98" s="37"/>
      <c r="I98" s="14"/>
      <c r="J98" s="14"/>
      <c r="K98" s="14"/>
      <c r="L98" s="14"/>
      <c r="M98" s="14"/>
      <c r="N98" s="14"/>
      <c r="O98" s="14"/>
      <c r="P98" s="14"/>
      <c r="Q98" s="14"/>
      <c r="R98" s="14" t="s">
        <v>3895</v>
      </c>
      <c r="S98" s="633"/>
      <c r="T98" s="633"/>
      <c r="U98" s="750"/>
    </row>
    <row r="99" spans="1:21" x14ac:dyDescent="0.3">
      <c r="A99" s="690"/>
      <c r="B99" s="608"/>
      <c r="C99" s="48">
        <v>0.28299999999999997</v>
      </c>
      <c r="D99" s="48">
        <v>0.59499999999999997</v>
      </c>
      <c r="E99" s="654"/>
      <c r="F99" s="633"/>
      <c r="G99" s="633"/>
      <c r="H99" s="37"/>
      <c r="I99" s="14"/>
      <c r="J99" s="14"/>
      <c r="K99" s="14"/>
      <c r="L99" s="14"/>
      <c r="M99" s="14"/>
      <c r="N99" s="14"/>
      <c r="O99" s="14"/>
      <c r="P99" s="14"/>
      <c r="Q99" s="14"/>
      <c r="R99" s="14" t="s">
        <v>3896</v>
      </c>
      <c r="S99" s="633"/>
      <c r="T99" s="633"/>
      <c r="U99" s="750"/>
    </row>
    <row r="100" spans="1:21" ht="15" thickBot="1" x14ac:dyDescent="0.35">
      <c r="A100" s="689"/>
      <c r="B100" s="609"/>
      <c r="C100" s="46">
        <v>0.59499999999999997</v>
      </c>
      <c r="D100" s="46">
        <v>0.94</v>
      </c>
      <c r="E100" s="646"/>
      <c r="F100" s="634"/>
      <c r="G100" s="634"/>
      <c r="H100" s="38"/>
      <c r="I100" s="20"/>
      <c r="J100" s="20"/>
      <c r="K100" s="20"/>
      <c r="L100" s="20"/>
      <c r="M100" s="20"/>
      <c r="N100" s="20"/>
      <c r="O100" s="20"/>
      <c r="P100" s="20"/>
      <c r="Q100" s="20"/>
      <c r="R100" s="20" t="s">
        <v>3897</v>
      </c>
      <c r="S100" s="634"/>
      <c r="T100" s="634"/>
      <c r="U100" s="745"/>
    </row>
    <row r="101" spans="1:21" ht="24.6" thickBot="1" x14ac:dyDescent="0.35">
      <c r="A101" s="69" t="s">
        <v>3898</v>
      </c>
      <c r="B101" s="23" t="s">
        <v>3899</v>
      </c>
      <c r="C101" s="41">
        <v>0</v>
      </c>
      <c r="D101" s="41">
        <v>0.65</v>
      </c>
      <c r="E101" s="41">
        <v>0.65</v>
      </c>
      <c r="F101" s="3">
        <v>3350</v>
      </c>
      <c r="G101" s="3" t="s">
        <v>32</v>
      </c>
      <c r="H101" s="26"/>
      <c r="I101" s="3"/>
      <c r="J101" s="3"/>
      <c r="K101" s="3"/>
      <c r="L101" s="3"/>
      <c r="M101" s="3"/>
      <c r="N101" s="3"/>
      <c r="O101" s="3"/>
      <c r="P101" s="3"/>
      <c r="Q101" s="3"/>
      <c r="R101" s="3">
        <v>70960060089</v>
      </c>
      <c r="S101" s="3"/>
      <c r="T101" s="3" t="s">
        <v>2485</v>
      </c>
      <c r="U101" s="110"/>
    </row>
    <row r="102" spans="1:21" x14ac:dyDescent="0.3">
      <c r="A102" s="688" t="s">
        <v>3900</v>
      </c>
      <c r="B102" s="607" t="s">
        <v>3901</v>
      </c>
      <c r="C102" s="43">
        <v>0</v>
      </c>
      <c r="D102" s="43">
        <v>0.61799999999999999</v>
      </c>
      <c r="E102" s="645">
        <v>2.4990000000000001</v>
      </c>
      <c r="F102" s="641">
        <v>12600</v>
      </c>
      <c r="G102" s="641" t="s">
        <v>32</v>
      </c>
      <c r="H102" s="36"/>
      <c r="I102" s="33"/>
      <c r="J102" s="33"/>
      <c r="K102" s="33"/>
      <c r="L102" s="33"/>
      <c r="M102" s="33"/>
      <c r="N102" s="33"/>
      <c r="O102" s="33"/>
      <c r="P102" s="33"/>
      <c r="Q102" s="33"/>
      <c r="R102" s="33">
        <v>70960070107</v>
      </c>
      <c r="S102" s="641"/>
      <c r="T102" s="641" t="s">
        <v>2485</v>
      </c>
      <c r="U102" s="744"/>
    </row>
    <row r="103" spans="1:21" ht="15" thickBot="1" x14ac:dyDescent="0.35">
      <c r="A103" s="689"/>
      <c r="B103" s="609"/>
      <c r="C103" s="46">
        <v>0.61799999999999999</v>
      </c>
      <c r="D103" s="46">
        <v>2.4990000000000001</v>
      </c>
      <c r="E103" s="646"/>
      <c r="F103" s="634"/>
      <c r="G103" s="634"/>
      <c r="H103" s="38"/>
      <c r="I103" s="20"/>
      <c r="J103" s="20"/>
      <c r="K103" s="20"/>
      <c r="L103" s="20"/>
      <c r="M103" s="20"/>
      <c r="N103" s="20"/>
      <c r="O103" s="20"/>
      <c r="P103" s="20"/>
      <c r="Q103" s="20"/>
      <c r="R103" s="20">
        <v>70960020022</v>
      </c>
      <c r="S103" s="634"/>
      <c r="T103" s="634"/>
      <c r="U103" s="745"/>
    </row>
    <row r="104" spans="1:21" ht="24" x14ac:dyDescent="0.3">
      <c r="A104" s="688" t="s">
        <v>3902</v>
      </c>
      <c r="B104" s="607" t="s">
        <v>3903</v>
      </c>
      <c r="C104" s="645">
        <v>0</v>
      </c>
      <c r="D104" s="645">
        <v>0.39</v>
      </c>
      <c r="E104" s="645">
        <v>0.39</v>
      </c>
      <c r="F104" s="641">
        <v>1560</v>
      </c>
      <c r="G104" s="641" t="s">
        <v>32</v>
      </c>
      <c r="H104" s="649"/>
      <c r="I104" s="641"/>
      <c r="J104" s="641"/>
      <c r="K104" s="641"/>
      <c r="L104" s="641"/>
      <c r="M104" s="641"/>
      <c r="N104" s="641"/>
      <c r="O104" s="641"/>
      <c r="P104" s="641"/>
      <c r="Q104" s="641"/>
      <c r="R104" s="641">
        <v>70960070108</v>
      </c>
      <c r="S104" s="641"/>
      <c r="T104" s="33" t="s">
        <v>2485</v>
      </c>
      <c r="U104" s="744"/>
    </row>
    <row r="105" spans="1:21" ht="15" thickBot="1" x14ac:dyDescent="0.35">
      <c r="A105" s="689"/>
      <c r="B105" s="609"/>
      <c r="C105" s="646"/>
      <c r="D105" s="646"/>
      <c r="E105" s="646"/>
      <c r="F105" s="634"/>
      <c r="G105" s="634"/>
      <c r="H105" s="650"/>
      <c r="I105" s="634"/>
      <c r="J105" s="634"/>
      <c r="K105" s="634"/>
      <c r="L105" s="634"/>
      <c r="M105" s="634"/>
      <c r="N105" s="634"/>
      <c r="O105" s="634"/>
      <c r="P105" s="634"/>
      <c r="Q105" s="634"/>
      <c r="R105" s="634"/>
      <c r="S105" s="634"/>
      <c r="T105" s="20"/>
      <c r="U105" s="745"/>
    </row>
    <row r="106" spans="1:21" ht="24.6" thickBot="1" x14ac:dyDescent="0.35">
      <c r="A106" s="69" t="s">
        <v>3904</v>
      </c>
      <c r="B106" s="23" t="s">
        <v>3905</v>
      </c>
      <c r="C106" s="41">
        <v>0</v>
      </c>
      <c r="D106" s="41">
        <v>3.883</v>
      </c>
      <c r="E106" s="41">
        <v>3.883</v>
      </c>
      <c r="F106" s="3">
        <v>19415</v>
      </c>
      <c r="G106" s="3" t="s">
        <v>32</v>
      </c>
      <c r="H106" s="26"/>
      <c r="I106" s="3"/>
      <c r="J106" s="3"/>
      <c r="K106" s="3"/>
      <c r="L106" s="3"/>
      <c r="M106" s="3"/>
      <c r="N106" s="3"/>
      <c r="O106" s="3"/>
      <c r="P106" s="3"/>
      <c r="Q106" s="3"/>
      <c r="R106" s="3">
        <v>70960050074</v>
      </c>
      <c r="S106" s="3"/>
      <c r="T106" s="3" t="s">
        <v>2485</v>
      </c>
      <c r="U106" s="110"/>
    </row>
    <row r="107" spans="1:21" ht="24" x14ac:dyDescent="0.3">
      <c r="A107" s="688" t="s">
        <v>3906</v>
      </c>
      <c r="B107" s="607" t="s">
        <v>3907</v>
      </c>
      <c r="C107" s="645">
        <v>0</v>
      </c>
      <c r="D107" s="645">
        <v>0.23899999999999999</v>
      </c>
      <c r="E107" s="645">
        <v>0.24</v>
      </c>
      <c r="F107" s="641">
        <v>1250</v>
      </c>
      <c r="G107" s="641" t="s">
        <v>32</v>
      </c>
      <c r="H107" s="649"/>
      <c r="I107" s="641"/>
      <c r="J107" s="641"/>
      <c r="K107" s="641"/>
      <c r="L107" s="641"/>
      <c r="M107" s="641"/>
      <c r="N107" s="641"/>
      <c r="O107" s="641"/>
      <c r="P107" s="641"/>
      <c r="Q107" s="641"/>
      <c r="R107" s="641">
        <v>70960090155</v>
      </c>
      <c r="S107" s="641"/>
      <c r="T107" s="33" t="s">
        <v>2485</v>
      </c>
      <c r="U107" s="744"/>
    </row>
    <row r="108" spans="1:21" ht="15" thickBot="1" x14ac:dyDescent="0.35">
      <c r="A108" s="689"/>
      <c r="B108" s="609"/>
      <c r="C108" s="646"/>
      <c r="D108" s="646"/>
      <c r="E108" s="646"/>
      <c r="F108" s="634"/>
      <c r="G108" s="634"/>
      <c r="H108" s="650"/>
      <c r="I108" s="634"/>
      <c r="J108" s="634"/>
      <c r="K108" s="634"/>
      <c r="L108" s="634"/>
      <c r="M108" s="634"/>
      <c r="N108" s="634"/>
      <c r="O108" s="634"/>
      <c r="P108" s="634"/>
      <c r="Q108" s="634"/>
      <c r="R108" s="634"/>
      <c r="S108" s="634"/>
      <c r="T108" s="20"/>
      <c r="U108" s="745"/>
    </row>
    <row r="109" spans="1:21" ht="24.6" thickBot="1" x14ac:dyDescent="0.35">
      <c r="A109" s="69" t="s">
        <v>3908</v>
      </c>
      <c r="B109" s="23" t="s">
        <v>3909</v>
      </c>
      <c r="C109" s="41">
        <v>0</v>
      </c>
      <c r="D109" s="41">
        <v>0.20799999999999999</v>
      </c>
      <c r="E109" s="41">
        <v>0.21</v>
      </c>
      <c r="F109" s="3">
        <v>1050</v>
      </c>
      <c r="G109" s="3" t="s">
        <v>32</v>
      </c>
      <c r="H109" s="26"/>
      <c r="I109" s="3"/>
      <c r="J109" s="3"/>
      <c r="K109" s="3"/>
      <c r="L109" s="3"/>
      <c r="M109" s="3"/>
      <c r="N109" s="3"/>
      <c r="O109" s="3"/>
      <c r="P109" s="3"/>
      <c r="Q109" s="3"/>
      <c r="R109" s="3">
        <v>70960080065</v>
      </c>
      <c r="S109" s="3"/>
      <c r="T109" s="3" t="s">
        <v>2485</v>
      </c>
      <c r="U109" s="110"/>
    </row>
    <row r="110" spans="1:21" ht="24.6" thickBot="1" x14ac:dyDescent="0.35">
      <c r="A110" s="69" t="s">
        <v>3910</v>
      </c>
      <c r="B110" s="23" t="s">
        <v>3911</v>
      </c>
      <c r="C110" s="41">
        <v>0</v>
      </c>
      <c r="D110" s="41">
        <v>0.52400000000000002</v>
      </c>
      <c r="E110" s="41">
        <v>0.52</v>
      </c>
      <c r="F110" s="3">
        <v>2600</v>
      </c>
      <c r="G110" s="3" t="s">
        <v>32</v>
      </c>
      <c r="H110" s="26"/>
      <c r="I110" s="3"/>
      <c r="J110" s="3"/>
      <c r="K110" s="3"/>
      <c r="L110" s="3"/>
      <c r="M110" s="3"/>
      <c r="N110" s="3"/>
      <c r="O110" s="3"/>
      <c r="P110" s="3"/>
      <c r="Q110" s="3"/>
      <c r="R110" s="3">
        <v>70960080045</v>
      </c>
      <c r="S110" s="3"/>
      <c r="T110" s="3" t="s">
        <v>2485</v>
      </c>
      <c r="U110" s="110"/>
    </row>
    <row r="111" spans="1:21" x14ac:dyDescent="0.3">
      <c r="A111" s="688" t="s">
        <v>3912</v>
      </c>
      <c r="B111" s="607" t="s">
        <v>3913</v>
      </c>
      <c r="C111" s="645">
        <v>0</v>
      </c>
      <c r="D111" s="645">
        <v>0.31</v>
      </c>
      <c r="E111" s="645">
        <v>0.31</v>
      </c>
      <c r="F111" s="641">
        <v>1240</v>
      </c>
      <c r="G111" s="641" t="s">
        <v>32</v>
      </c>
      <c r="H111" s="649"/>
      <c r="I111" s="641"/>
      <c r="J111" s="641"/>
      <c r="K111" s="641"/>
      <c r="L111" s="641"/>
      <c r="M111" s="641"/>
      <c r="N111" s="641"/>
      <c r="O111" s="641"/>
      <c r="P111" s="641"/>
      <c r="Q111" s="641"/>
      <c r="R111" s="33" t="s">
        <v>3914</v>
      </c>
      <c r="S111" s="641"/>
      <c r="T111" s="641" t="s">
        <v>2485</v>
      </c>
      <c r="U111" s="642" t="s">
        <v>67</v>
      </c>
    </row>
    <row r="112" spans="1:21" ht="14.4" customHeight="1" x14ac:dyDescent="0.3">
      <c r="A112" s="690"/>
      <c r="B112" s="608"/>
      <c r="C112" s="654"/>
      <c r="D112" s="654"/>
      <c r="E112" s="654"/>
      <c r="F112" s="633"/>
      <c r="G112" s="633"/>
      <c r="H112" s="653"/>
      <c r="I112" s="633"/>
      <c r="J112" s="633"/>
      <c r="K112" s="633"/>
      <c r="L112" s="633"/>
      <c r="M112" s="633"/>
      <c r="N112" s="633"/>
      <c r="O112" s="633"/>
      <c r="P112" s="633"/>
      <c r="Q112" s="633"/>
      <c r="R112" s="14" t="s">
        <v>3915</v>
      </c>
      <c r="S112" s="633"/>
      <c r="T112" s="633"/>
      <c r="U112" s="636"/>
    </row>
    <row r="113" spans="1:21" ht="15" thickBot="1" x14ac:dyDescent="0.35">
      <c r="A113" s="689"/>
      <c r="B113" s="609"/>
      <c r="C113" s="646"/>
      <c r="D113" s="646"/>
      <c r="E113" s="646"/>
      <c r="F113" s="634"/>
      <c r="G113" s="634"/>
      <c r="H113" s="650"/>
      <c r="I113" s="634"/>
      <c r="J113" s="634"/>
      <c r="K113" s="634"/>
      <c r="L113" s="634"/>
      <c r="M113" s="634"/>
      <c r="N113" s="634"/>
      <c r="O113" s="634"/>
      <c r="P113" s="634"/>
      <c r="Q113" s="634"/>
      <c r="R113" s="20"/>
      <c r="S113" s="634"/>
      <c r="T113" s="634"/>
      <c r="U113" s="637"/>
    </row>
    <row r="114" spans="1:21" x14ac:dyDescent="0.3">
      <c r="A114" s="688" t="s">
        <v>3916</v>
      </c>
      <c r="B114" s="607" t="s">
        <v>3917</v>
      </c>
      <c r="C114" s="645">
        <v>0</v>
      </c>
      <c r="D114" s="645">
        <v>0.85</v>
      </c>
      <c r="E114" s="645">
        <v>0.85</v>
      </c>
      <c r="F114" s="641">
        <v>2550</v>
      </c>
      <c r="G114" s="641" t="s">
        <v>32</v>
      </c>
      <c r="H114" s="649"/>
      <c r="I114" s="641"/>
      <c r="J114" s="641"/>
      <c r="K114" s="641"/>
      <c r="L114" s="33"/>
      <c r="M114" s="33"/>
      <c r="N114" s="641"/>
      <c r="O114" s="641"/>
      <c r="P114" s="641"/>
      <c r="Q114" s="641"/>
      <c r="R114" s="33" t="s">
        <v>3918</v>
      </c>
      <c r="S114" s="641"/>
      <c r="T114" s="641" t="s">
        <v>2485</v>
      </c>
      <c r="U114" s="744"/>
    </row>
    <row r="115" spans="1:21" ht="14.4" customHeight="1" x14ac:dyDescent="0.3">
      <c r="A115" s="690"/>
      <c r="B115" s="608"/>
      <c r="C115" s="654"/>
      <c r="D115" s="654"/>
      <c r="E115" s="654"/>
      <c r="F115" s="633"/>
      <c r="G115" s="633"/>
      <c r="H115" s="653"/>
      <c r="I115" s="633"/>
      <c r="J115" s="633"/>
      <c r="K115" s="633"/>
      <c r="L115" s="14"/>
      <c r="M115" s="14"/>
      <c r="N115" s="633"/>
      <c r="O115" s="633"/>
      <c r="P115" s="633"/>
      <c r="Q115" s="633"/>
      <c r="R115" s="14" t="s">
        <v>3919</v>
      </c>
      <c r="S115" s="633"/>
      <c r="T115" s="633"/>
      <c r="U115" s="750"/>
    </row>
    <row r="116" spans="1:21" ht="15" thickBot="1" x14ac:dyDescent="0.35">
      <c r="A116" s="689"/>
      <c r="B116" s="609"/>
      <c r="C116" s="646"/>
      <c r="D116" s="646"/>
      <c r="E116" s="646"/>
      <c r="F116" s="634"/>
      <c r="G116" s="634"/>
      <c r="H116" s="650"/>
      <c r="I116" s="634"/>
      <c r="J116" s="634"/>
      <c r="K116" s="634"/>
      <c r="L116" s="20"/>
      <c r="M116" s="20"/>
      <c r="N116" s="634"/>
      <c r="O116" s="634"/>
      <c r="P116" s="634"/>
      <c r="Q116" s="634"/>
      <c r="R116" s="20" t="s">
        <v>3920</v>
      </c>
      <c r="S116" s="634"/>
      <c r="T116" s="634"/>
      <c r="U116" s="745"/>
    </row>
    <row r="117" spans="1:21" x14ac:dyDescent="0.3">
      <c r="A117" s="688" t="s">
        <v>3921</v>
      </c>
      <c r="B117" s="607" t="s">
        <v>3922</v>
      </c>
      <c r="C117" s="43">
        <v>0</v>
      </c>
      <c r="D117" s="43">
        <v>0.34300000000000003</v>
      </c>
      <c r="E117" s="645">
        <v>0.88800000000000001</v>
      </c>
      <c r="F117" s="641">
        <v>4470</v>
      </c>
      <c r="G117" s="641" t="s">
        <v>32</v>
      </c>
      <c r="H117" s="36"/>
      <c r="I117" s="33"/>
      <c r="J117" s="33"/>
      <c r="K117" s="33"/>
      <c r="L117" s="33"/>
      <c r="M117" s="33"/>
      <c r="N117" s="33"/>
      <c r="O117" s="33"/>
      <c r="P117" s="33"/>
      <c r="Q117" s="33"/>
      <c r="R117" s="33" t="s">
        <v>3923</v>
      </c>
      <c r="S117" s="641"/>
      <c r="T117" s="641" t="s">
        <v>2485</v>
      </c>
      <c r="U117" s="744"/>
    </row>
    <row r="118" spans="1:21" x14ac:dyDescent="0.3">
      <c r="A118" s="690"/>
      <c r="B118" s="608"/>
      <c r="C118" s="48">
        <v>0.34300000000000003</v>
      </c>
      <c r="D118" s="48">
        <v>0.755</v>
      </c>
      <c r="E118" s="654"/>
      <c r="F118" s="633"/>
      <c r="G118" s="633"/>
      <c r="H118" s="37"/>
      <c r="I118" s="14"/>
      <c r="J118" s="14"/>
      <c r="K118" s="14"/>
      <c r="L118" s="14"/>
      <c r="M118" s="14"/>
      <c r="N118" s="14"/>
      <c r="O118" s="14"/>
      <c r="P118" s="14"/>
      <c r="Q118" s="14"/>
      <c r="R118" s="14" t="s">
        <v>3924</v>
      </c>
      <c r="S118" s="633"/>
      <c r="T118" s="633"/>
      <c r="U118" s="750"/>
    </row>
    <row r="119" spans="1:21" ht="15" thickBot="1" x14ac:dyDescent="0.35">
      <c r="A119" s="689"/>
      <c r="B119" s="609"/>
      <c r="C119" s="46">
        <v>0.755</v>
      </c>
      <c r="D119" s="46">
        <v>0.88800000000000001</v>
      </c>
      <c r="E119" s="646"/>
      <c r="F119" s="634"/>
      <c r="G119" s="634"/>
      <c r="H119" s="38"/>
      <c r="I119" s="20"/>
      <c r="J119" s="20"/>
      <c r="K119" s="20"/>
      <c r="L119" s="20"/>
      <c r="M119" s="20"/>
      <c r="N119" s="20"/>
      <c r="O119" s="20"/>
      <c r="P119" s="20"/>
      <c r="Q119" s="20"/>
      <c r="R119" s="20" t="s">
        <v>3925</v>
      </c>
      <c r="S119" s="634"/>
      <c r="T119" s="634"/>
      <c r="U119" s="745"/>
    </row>
    <row r="120" spans="1:21" x14ac:dyDescent="0.3">
      <c r="A120" s="688" t="s">
        <v>3926</v>
      </c>
      <c r="B120" s="607" t="s">
        <v>3927</v>
      </c>
      <c r="C120" s="43">
        <v>0</v>
      </c>
      <c r="D120" s="43">
        <v>8.5999999999999993E-2</v>
      </c>
      <c r="E120" s="645">
        <v>0.21299999999999999</v>
      </c>
      <c r="F120" s="641">
        <v>1100</v>
      </c>
      <c r="G120" s="641" t="s">
        <v>32</v>
      </c>
      <c r="H120" s="36"/>
      <c r="I120" s="33"/>
      <c r="J120" s="33"/>
      <c r="K120" s="33"/>
      <c r="L120" s="33"/>
      <c r="M120" s="33"/>
      <c r="N120" s="33"/>
      <c r="O120" s="33"/>
      <c r="P120" s="33"/>
      <c r="Q120" s="33"/>
      <c r="R120" s="33" t="s">
        <v>3928</v>
      </c>
      <c r="S120" s="641"/>
      <c r="T120" s="641" t="s">
        <v>2485</v>
      </c>
      <c r="U120" s="744"/>
    </row>
    <row r="121" spans="1:21" ht="14.4" customHeight="1" x14ac:dyDescent="0.3">
      <c r="A121" s="690"/>
      <c r="B121" s="608"/>
      <c r="C121" s="48">
        <v>8.5999999999999993E-2</v>
      </c>
      <c r="D121" s="48">
        <v>0.14899999999999999</v>
      </c>
      <c r="E121" s="654"/>
      <c r="F121" s="633"/>
      <c r="G121" s="633"/>
      <c r="H121" s="37"/>
      <c r="I121" s="14"/>
      <c r="J121" s="14"/>
      <c r="K121" s="14"/>
      <c r="L121" s="14"/>
      <c r="M121" s="14"/>
      <c r="N121" s="14"/>
      <c r="O121" s="14"/>
      <c r="P121" s="14"/>
      <c r="Q121" s="14"/>
      <c r="R121" s="14" t="s">
        <v>3929</v>
      </c>
      <c r="S121" s="633"/>
      <c r="T121" s="633"/>
      <c r="U121" s="750"/>
    </row>
    <row r="122" spans="1:21" ht="15" thickBot="1" x14ac:dyDescent="0.35">
      <c r="A122" s="689"/>
      <c r="B122" s="609"/>
      <c r="C122" s="46">
        <v>0.14899999999999999</v>
      </c>
      <c r="D122" s="46">
        <v>0.21299999999999999</v>
      </c>
      <c r="E122" s="646"/>
      <c r="F122" s="634"/>
      <c r="G122" s="634"/>
      <c r="H122" s="38"/>
      <c r="I122" s="20"/>
      <c r="J122" s="20"/>
      <c r="K122" s="20"/>
      <c r="L122" s="20"/>
      <c r="M122" s="20"/>
      <c r="N122" s="20"/>
      <c r="O122" s="20"/>
      <c r="P122" s="20"/>
      <c r="Q122" s="20"/>
      <c r="R122" s="20" t="s">
        <v>3930</v>
      </c>
      <c r="S122" s="634"/>
      <c r="T122" s="634"/>
      <c r="U122" s="745"/>
    </row>
    <row r="123" spans="1:21" x14ac:dyDescent="0.3">
      <c r="A123" s="688" t="s">
        <v>3931</v>
      </c>
      <c r="B123" s="607" t="s">
        <v>3932</v>
      </c>
      <c r="C123" s="645">
        <v>0</v>
      </c>
      <c r="D123" s="645">
        <v>0.18</v>
      </c>
      <c r="E123" s="645">
        <v>0.18</v>
      </c>
      <c r="F123" s="641">
        <v>900</v>
      </c>
      <c r="G123" s="641" t="s">
        <v>32</v>
      </c>
      <c r="H123" s="649"/>
      <c r="I123" s="641"/>
      <c r="J123" s="641"/>
      <c r="K123" s="641"/>
      <c r="L123" s="641"/>
      <c r="M123" s="641"/>
      <c r="N123" s="641"/>
      <c r="O123" s="641"/>
      <c r="P123" s="641"/>
      <c r="Q123" s="641"/>
      <c r="R123" s="33" t="s">
        <v>3933</v>
      </c>
      <c r="S123" s="641"/>
      <c r="T123" s="641" t="s">
        <v>2485</v>
      </c>
      <c r="U123" s="744"/>
    </row>
    <row r="124" spans="1:21" ht="15" thickBot="1" x14ac:dyDescent="0.35">
      <c r="A124" s="689"/>
      <c r="B124" s="609"/>
      <c r="C124" s="646"/>
      <c r="D124" s="646"/>
      <c r="E124" s="646"/>
      <c r="F124" s="634"/>
      <c r="G124" s="634"/>
      <c r="H124" s="650"/>
      <c r="I124" s="634"/>
      <c r="J124" s="634"/>
      <c r="K124" s="634"/>
      <c r="L124" s="634"/>
      <c r="M124" s="634"/>
      <c r="N124" s="634"/>
      <c r="O124" s="634"/>
      <c r="P124" s="634"/>
      <c r="Q124" s="634"/>
      <c r="R124" s="20" t="s">
        <v>3934</v>
      </c>
      <c r="S124" s="634"/>
      <c r="T124" s="634"/>
      <c r="U124" s="745"/>
    </row>
    <row r="125" spans="1:21" x14ac:dyDescent="0.3">
      <c r="A125" s="688" t="s">
        <v>3935</v>
      </c>
      <c r="B125" s="607" t="s">
        <v>3936</v>
      </c>
      <c r="C125" s="645">
        <v>0</v>
      </c>
      <c r="D125" s="645">
        <v>0.56000000000000005</v>
      </c>
      <c r="E125" s="645">
        <v>0.56299999999999994</v>
      </c>
      <c r="F125" s="641">
        <v>2820</v>
      </c>
      <c r="G125" s="641" t="s">
        <v>32</v>
      </c>
      <c r="H125" s="649"/>
      <c r="I125" s="641"/>
      <c r="J125" s="641"/>
      <c r="K125" s="641"/>
      <c r="L125" s="641"/>
      <c r="M125" s="641"/>
      <c r="N125" s="641"/>
      <c r="O125" s="641"/>
      <c r="P125" s="641"/>
      <c r="Q125" s="641"/>
      <c r="R125" s="33" t="s">
        <v>3937</v>
      </c>
      <c r="S125" s="641"/>
      <c r="T125" s="641" t="s">
        <v>2485</v>
      </c>
      <c r="U125" s="744"/>
    </row>
    <row r="126" spans="1:21" x14ac:dyDescent="0.3">
      <c r="A126" s="690"/>
      <c r="B126" s="608"/>
      <c r="C126" s="654"/>
      <c r="D126" s="654"/>
      <c r="E126" s="654"/>
      <c r="F126" s="633"/>
      <c r="G126" s="633"/>
      <c r="H126" s="653"/>
      <c r="I126" s="633"/>
      <c r="J126" s="633"/>
      <c r="K126" s="633"/>
      <c r="L126" s="633"/>
      <c r="M126" s="633"/>
      <c r="N126" s="633"/>
      <c r="O126" s="633"/>
      <c r="P126" s="633"/>
      <c r="Q126" s="633"/>
      <c r="R126" s="14" t="s">
        <v>3938</v>
      </c>
      <c r="S126" s="633"/>
      <c r="T126" s="633"/>
      <c r="U126" s="750"/>
    </row>
    <row r="127" spans="1:21" ht="12" customHeight="1" thickBot="1" x14ac:dyDescent="0.35">
      <c r="A127" s="690"/>
      <c r="B127" s="608"/>
      <c r="C127" s="654"/>
      <c r="D127" s="654"/>
      <c r="E127" s="654"/>
      <c r="F127" s="633"/>
      <c r="G127" s="633"/>
      <c r="H127" s="653"/>
      <c r="I127" s="633"/>
      <c r="J127" s="633"/>
      <c r="K127" s="633"/>
      <c r="L127" s="633"/>
      <c r="M127" s="633"/>
      <c r="N127" s="633"/>
      <c r="O127" s="633"/>
      <c r="P127" s="633"/>
      <c r="Q127" s="633"/>
      <c r="R127" s="14" t="s">
        <v>3939</v>
      </c>
      <c r="S127" s="633"/>
      <c r="T127" s="633"/>
      <c r="U127" s="750"/>
    </row>
    <row r="128" spans="1:21" ht="15" hidden="1" thickBot="1" x14ac:dyDescent="0.35">
      <c r="A128" s="689"/>
      <c r="B128" s="609"/>
      <c r="C128" s="646"/>
      <c r="D128" s="646"/>
      <c r="E128" s="646"/>
      <c r="F128" s="634"/>
      <c r="G128" s="634"/>
      <c r="H128" s="650"/>
      <c r="I128" s="634"/>
      <c r="J128" s="634"/>
      <c r="K128" s="634"/>
      <c r="L128" s="634"/>
      <c r="M128" s="634"/>
      <c r="N128" s="634"/>
      <c r="O128" s="634"/>
      <c r="P128" s="634"/>
      <c r="Q128" s="634"/>
      <c r="R128" s="20" t="s">
        <v>3940</v>
      </c>
      <c r="S128" s="634"/>
      <c r="T128" s="634"/>
      <c r="U128" s="745"/>
    </row>
    <row r="129" spans="1:32" x14ac:dyDescent="0.3">
      <c r="A129" s="688" t="s">
        <v>3941</v>
      </c>
      <c r="B129" s="607" t="s">
        <v>3942</v>
      </c>
      <c r="C129" s="43">
        <v>0</v>
      </c>
      <c r="D129" s="43">
        <v>0.19900000000000001</v>
      </c>
      <c r="E129" s="645">
        <v>0.48</v>
      </c>
      <c r="F129" s="641">
        <f>E129*2900</f>
        <v>1392</v>
      </c>
      <c r="G129" s="641" t="s">
        <v>32</v>
      </c>
      <c r="H129" s="36"/>
      <c r="I129" s="33"/>
      <c r="J129" s="33"/>
      <c r="K129" s="33"/>
      <c r="L129" s="33"/>
      <c r="M129" s="33"/>
      <c r="N129" s="33"/>
      <c r="O129" s="33"/>
      <c r="P129" s="33"/>
      <c r="Q129" s="33"/>
      <c r="R129" s="33">
        <v>70960010083</v>
      </c>
      <c r="S129" s="641"/>
      <c r="T129" s="641" t="s">
        <v>2485</v>
      </c>
      <c r="U129" s="744"/>
    </row>
    <row r="130" spans="1:32" ht="14.4" customHeight="1" thickBot="1" x14ac:dyDescent="0.35">
      <c r="A130" s="689"/>
      <c r="B130" s="609"/>
      <c r="C130" s="46">
        <v>0.19900000000000001</v>
      </c>
      <c r="D130" s="46">
        <v>0.48399999999999999</v>
      </c>
      <c r="E130" s="646"/>
      <c r="F130" s="634"/>
      <c r="G130" s="634"/>
      <c r="H130" s="38"/>
      <c r="I130" s="20"/>
      <c r="J130" s="20"/>
      <c r="K130" s="20"/>
      <c r="L130" s="20"/>
      <c r="M130" s="20"/>
      <c r="N130" s="20"/>
      <c r="O130" s="20"/>
      <c r="P130" s="20"/>
      <c r="Q130" s="20"/>
      <c r="R130" s="20">
        <v>70960010097</v>
      </c>
      <c r="S130" s="634"/>
      <c r="T130" s="634"/>
      <c r="U130" s="745"/>
    </row>
    <row r="131" spans="1:32" x14ac:dyDescent="0.3">
      <c r="A131" s="688" t="s">
        <v>3943</v>
      </c>
      <c r="B131" s="607" t="s">
        <v>3944</v>
      </c>
      <c r="C131" s="43">
        <v>0</v>
      </c>
      <c r="D131" s="43">
        <v>2.2549999999999999</v>
      </c>
      <c r="E131" s="645">
        <f>D132</f>
        <v>2.9729999999999999</v>
      </c>
      <c r="F131" s="641">
        <v>15050</v>
      </c>
      <c r="G131" s="641" t="s">
        <v>32</v>
      </c>
      <c r="H131" s="36"/>
      <c r="I131" s="33"/>
      <c r="J131" s="33"/>
      <c r="K131" s="33"/>
      <c r="L131" s="33"/>
      <c r="M131" s="33"/>
      <c r="N131" s="33"/>
      <c r="O131" s="33"/>
      <c r="P131" s="33"/>
      <c r="Q131" s="33"/>
      <c r="R131" s="33">
        <v>70960090082</v>
      </c>
      <c r="S131" s="641"/>
      <c r="T131" s="641" t="s">
        <v>2485</v>
      </c>
      <c r="U131" s="744"/>
    </row>
    <row r="132" spans="1:32" ht="15" thickBot="1" x14ac:dyDescent="0.35">
      <c r="A132" s="689"/>
      <c r="B132" s="609"/>
      <c r="C132" s="46">
        <f>D131</f>
        <v>2.2549999999999999</v>
      </c>
      <c r="D132" s="46">
        <f>C132+0.718</f>
        <v>2.9729999999999999</v>
      </c>
      <c r="E132" s="646"/>
      <c r="F132" s="634"/>
      <c r="G132" s="634"/>
      <c r="H132" s="38"/>
      <c r="I132" s="20"/>
      <c r="J132" s="20"/>
      <c r="K132" s="20"/>
      <c r="L132" s="20"/>
      <c r="M132" s="20"/>
      <c r="N132" s="20"/>
      <c r="O132" s="20"/>
      <c r="P132" s="20"/>
      <c r="Q132" s="20"/>
      <c r="R132" s="20">
        <v>70960100045</v>
      </c>
      <c r="S132" s="634"/>
      <c r="T132" s="634"/>
      <c r="U132" s="745"/>
    </row>
    <row r="133" spans="1:32" x14ac:dyDescent="0.3">
      <c r="A133" s="496"/>
      <c r="B133" s="135"/>
      <c r="C133" s="135"/>
      <c r="D133" s="135"/>
      <c r="E133" s="390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462"/>
      <c r="U133" s="135"/>
    </row>
    <row r="134" spans="1:32" ht="24.6" x14ac:dyDescent="0.3">
      <c r="A134" s="496"/>
      <c r="B134" s="61" t="s">
        <v>202</v>
      </c>
    </row>
    <row r="135" spans="1:32" ht="24.6" x14ac:dyDescent="0.3">
      <c r="A135" s="496"/>
      <c r="B135" s="61" t="s">
        <v>203</v>
      </c>
    </row>
    <row r="136" spans="1:32" ht="24.6" x14ac:dyDescent="0.3">
      <c r="A136" s="497"/>
      <c r="B136" s="61" t="s">
        <v>204</v>
      </c>
    </row>
    <row r="137" spans="1:32" ht="24.6" x14ac:dyDescent="0.3">
      <c r="A137" s="497"/>
      <c r="B137" s="61" t="s">
        <v>205</v>
      </c>
    </row>
    <row r="138" spans="1:32" x14ac:dyDescent="0.3">
      <c r="A138" s="498"/>
      <c r="B138" s="75"/>
    </row>
    <row r="139" spans="1:32" s="59" customFormat="1" ht="27.6" customHeight="1" x14ac:dyDescent="0.25">
      <c r="A139" s="509"/>
      <c r="B139" s="509"/>
      <c r="C139" s="512" t="s">
        <v>3985</v>
      </c>
      <c r="D139" s="543" t="s">
        <v>3986</v>
      </c>
      <c r="E139" s="543"/>
      <c r="F139" s="543"/>
      <c r="G139" s="509"/>
      <c r="H139" s="509"/>
      <c r="I139" s="509"/>
      <c r="J139" s="509"/>
      <c r="K139" s="509"/>
      <c r="L139" s="509"/>
      <c r="M139" s="509"/>
      <c r="N139" s="509"/>
      <c r="O139" s="509"/>
      <c r="P139" s="509"/>
      <c r="Q139" s="509"/>
      <c r="R139" s="509"/>
      <c r="S139" s="509"/>
      <c r="T139" s="509"/>
      <c r="U139" s="509"/>
      <c r="V139" s="509"/>
      <c r="W139" s="509"/>
      <c r="X139" s="509"/>
      <c r="Y139" s="509"/>
      <c r="Z139" s="509"/>
      <c r="AA139" s="509"/>
      <c r="AB139" s="509"/>
      <c r="AC139" s="509"/>
      <c r="AD139" s="509"/>
      <c r="AE139" s="510"/>
      <c r="AF139" s="510"/>
    </row>
    <row r="140" spans="1:32" s="59" customFormat="1" ht="13.8" x14ac:dyDescent="0.25">
      <c r="A140" s="509"/>
      <c r="B140" s="509"/>
      <c r="C140" s="509"/>
      <c r="D140" s="509"/>
      <c r="E140" s="509"/>
      <c r="F140" s="509"/>
      <c r="G140" s="509"/>
      <c r="H140" s="509"/>
      <c r="I140" s="509"/>
      <c r="J140" s="509"/>
      <c r="K140" s="509"/>
      <c r="L140" s="509"/>
      <c r="M140" s="509"/>
      <c r="N140" s="509"/>
      <c r="O140" s="509"/>
      <c r="P140" s="509"/>
      <c r="Q140" s="509"/>
      <c r="R140" s="509"/>
      <c r="S140" s="509"/>
      <c r="T140" s="509"/>
      <c r="U140" s="509"/>
      <c r="V140" s="509"/>
      <c r="W140" s="509"/>
      <c r="X140" s="509"/>
      <c r="Y140" s="509"/>
      <c r="Z140" s="509"/>
      <c r="AA140" s="509"/>
      <c r="AB140" s="509"/>
      <c r="AC140" s="509"/>
      <c r="AD140" s="509"/>
      <c r="AE140" s="510"/>
      <c r="AF140" s="510"/>
    </row>
    <row r="141" spans="1:32" s="59" customFormat="1" ht="13.8" x14ac:dyDescent="0.25">
      <c r="A141" s="509"/>
      <c r="B141" s="509"/>
      <c r="C141" s="509"/>
      <c r="D141" s="509"/>
      <c r="E141" s="509"/>
      <c r="F141" s="509"/>
      <c r="G141" s="509"/>
      <c r="H141" s="509"/>
      <c r="I141" s="509"/>
      <c r="J141" s="509"/>
      <c r="K141" s="509"/>
      <c r="L141" s="509"/>
      <c r="M141" s="509"/>
      <c r="N141" s="509"/>
      <c r="O141" s="509"/>
      <c r="P141" s="509"/>
      <c r="Q141" s="509"/>
      <c r="R141" s="509"/>
      <c r="S141" s="509"/>
      <c r="T141" s="509"/>
      <c r="U141" s="509"/>
      <c r="V141" s="509"/>
      <c r="W141" s="509"/>
      <c r="X141" s="509"/>
      <c r="Y141" s="509"/>
      <c r="Z141" s="509"/>
      <c r="AA141" s="509"/>
      <c r="AB141" s="509"/>
      <c r="AC141" s="509"/>
      <c r="AD141" s="509"/>
      <c r="AE141" s="417"/>
      <c r="AF141" s="510"/>
    </row>
    <row r="142" spans="1:32" s="59" customFormat="1" ht="13.8" x14ac:dyDescent="0.25">
      <c r="B142" s="60"/>
      <c r="C142" s="438" t="s">
        <v>3989</v>
      </c>
      <c r="D142" s="544" t="s">
        <v>3990</v>
      </c>
      <c r="E142" s="544"/>
      <c r="F142" s="544"/>
      <c r="G142" s="544"/>
      <c r="H142" s="544"/>
      <c r="I142" s="544"/>
      <c r="T142" s="60"/>
      <c r="U142" s="60"/>
    </row>
    <row r="143" spans="1:32" s="59" customFormat="1" ht="13.95" customHeight="1" x14ac:dyDescent="0.25">
      <c r="B143" s="60"/>
      <c r="C143" s="438" t="s">
        <v>3987</v>
      </c>
      <c r="D143" s="553" t="s">
        <v>3988</v>
      </c>
      <c r="E143" s="553"/>
      <c r="F143" s="553"/>
      <c r="G143" s="553"/>
      <c r="H143" s="553"/>
      <c r="I143" s="553"/>
      <c r="T143" s="60"/>
      <c r="U143" s="60"/>
    </row>
    <row r="144" spans="1:32" s="59" customFormat="1" ht="14.4" customHeight="1" x14ac:dyDescent="0.25">
      <c r="T144" s="60"/>
      <c r="U144" s="60"/>
    </row>
    <row r="145" spans="1:21" s="59" customFormat="1" ht="13.8" x14ac:dyDescent="0.25">
      <c r="A145" s="469"/>
      <c r="B145" s="743" t="s">
        <v>3984</v>
      </c>
      <c r="C145" s="743"/>
      <c r="D145" s="743"/>
      <c r="E145" s="743"/>
      <c r="F145" s="743"/>
      <c r="G145" s="743"/>
      <c r="H145" s="743"/>
      <c r="I145" s="743"/>
      <c r="T145" s="304"/>
      <c r="U145" s="304"/>
    </row>
  </sheetData>
  <mergeCells count="616">
    <mergeCell ref="D139:F139"/>
    <mergeCell ref="D142:I142"/>
    <mergeCell ref="D143:I143"/>
    <mergeCell ref="B145:I145"/>
    <mergeCell ref="T129:T130"/>
    <mergeCell ref="U129:U130"/>
    <mergeCell ref="A131:A132"/>
    <mergeCell ref="B131:B132"/>
    <mergeCell ref="E131:E132"/>
    <mergeCell ref="F131:F132"/>
    <mergeCell ref="G131:G132"/>
    <mergeCell ref="S131:S132"/>
    <mergeCell ref="T131:T132"/>
    <mergeCell ref="U131:U132"/>
    <mergeCell ref="A129:A130"/>
    <mergeCell ref="B129:B130"/>
    <mergeCell ref="E129:E130"/>
    <mergeCell ref="F129:F130"/>
    <mergeCell ref="G129:G130"/>
    <mergeCell ref="S129:S130"/>
    <mergeCell ref="O125:O128"/>
    <mergeCell ref="P125:P128"/>
    <mergeCell ref="Q125:Q128"/>
    <mergeCell ref="S125:S128"/>
    <mergeCell ref="T125:T128"/>
    <mergeCell ref="U125:U128"/>
    <mergeCell ref="I125:I128"/>
    <mergeCell ref="J125:J128"/>
    <mergeCell ref="K125:K128"/>
    <mergeCell ref="L125:L128"/>
    <mergeCell ref="M125:M128"/>
    <mergeCell ref="N125:N128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M123:M124"/>
    <mergeCell ref="G123:G124"/>
    <mergeCell ref="H123:H124"/>
    <mergeCell ref="I123:I124"/>
    <mergeCell ref="J123:J124"/>
    <mergeCell ref="K123:K124"/>
    <mergeCell ref="L123:L124"/>
    <mergeCell ref="A123:A124"/>
    <mergeCell ref="B123:B124"/>
    <mergeCell ref="C123:C124"/>
    <mergeCell ref="D123:D124"/>
    <mergeCell ref="E123:E124"/>
    <mergeCell ref="F123:F124"/>
    <mergeCell ref="A120:A122"/>
    <mergeCell ref="B120:B122"/>
    <mergeCell ref="E120:E122"/>
    <mergeCell ref="F120:F122"/>
    <mergeCell ref="G120:G122"/>
    <mergeCell ref="S120:S122"/>
    <mergeCell ref="T120:T122"/>
    <mergeCell ref="U120:U122"/>
    <mergeCell ref="A117:A119"/>
    <mergeCell ref="B117:B119"/>
    <mergeCell ref="E117:E119"/>
    <mergeCell ref="F117:F119"/>
    <mergeCell ref="G117:G119"/>
    <mergeCell ref="T123:T124"/>
    <mergeCell ref="U123:U124"/>
    <mergeCell ref="N123:N124"/>
    <mergeCell ref="O123:O124"/>
    <mergeCell ref="P123:P124"/>
    <mergeCell ref="Q123:Q124"/>
    <mergeCell ref="S123:S124"/>
    <mergeCell ref="Q114:Q116"/>
    <mergeCell ref="S114:S116"/>
    <mergeCell ref="T114:T116"/>
    <mergeCell ref="U114:U116"/>
    <mergeCell ref="S117:S119"/>
    <mergeCell ref="T117:T119"/>
    <mergeCell ref="U117:U119"/>
    <mergeCell ref="N114:N116"/>
    <mergeCell ref="O114:O116"/>
    <mergeCell ref="P114:P116"/>
    <mergeCell ref="A114:A116"/>
    <mergeCell ref="B114:B116"/>
    <mergeCell ref="C114:C116"/>
    <mergeCell ref="D114:D116"/>
    <mergeCell ref="E114:E116"/>
    <mergeCell ref="F114:F116"/>
    <mergeCell ref="G114:G116"/>
    <mergeCell ref="H114:H116"/>
    <mergeCell ref="M111:M113"/>
    <mergeCell ref="G111:G113"/>
    <mergeCell ref="H111:H113"/>
    <mergeCell ref="A111:A113"/>
    <mergeCell ref="B111:B113"/>
    <mergeCell ref="C111:C113"/>
    <mergeCell ref="D111:D113"/>
    <mergeCell ref="E111:E113"/>
    <mergeCell ref="F111:F113"/>
    <mergeCell ref="I114:I116"/>
    <mergeCell ref="J114:J116"/>
    <mergeCell ref="K114:K116"/>
    <mergeCell ref="S107:S108"/>
    <mergeCell ref="U107:U108"/>
    <mergeCell ref="I107:I108"/>
    <mergeCell ref="J107:J108"/>
    <mergeCell ref="K107:K108"/>
    <mergeCell ref="L107:L108"/>
    <mergeCell ref="M107:M108"/>
    <mergeCell ref="N107:N108"/>
    <mergeCell ref="I111:I113"/>
    <mergeCell ref="J111:J113"/>
    <mergeCell ref="K111:K113"/>
    <mergeCell ref="L111:L113"/>
    <mergeCell ref="T111:T113"/>
    <mergeCell ref="U111:U113"/>
    <mergeCell ref="N111:N113"/>
    <mergeCell ref="O111:O113"/>
    <mergeCell ref="P111:P113"/>
    <mergeCell ref="Q111:Q113"/>
    <mergeCell ref="S111:S113"/>
    <mergeCell ref="P104:P105"/>
    <mergeCell ref="Q104:Q105"/>
    <mergeCell ref="R104:R105"/>
    <mergeCell ref="A107:A108"/>
    <mergeCell ref="B107:B108"/>
    <mergeCell ref="C107:C108"/>
    <mergeCell ref="D107:D108"/>
    <mergeCell ref="E107:E108"/>
    <mergeCell ref="F107:F108"/>
    <mergeCell ref="G107:G108"/>
    <mergeCell ref="H107:H108"/>
    <mergeCell ref="M104:M105"/>
    <mergeCell ref="G104:G105"/>
    <mergeCell ref="H104:H105"/>
    <mergeCell ref="I104:I105"/>
    <mergeCell ref="J104:J105"/>
    <mergeCell ref="K104:K105"/>
    <mergeCell ref="L104:L105"/>
    <mergeCell ref="A104:A105"/>
    <mergeCell ref="B104:B105"/>
    <mergeCell ref="O107:O108"/>
    <mergeCell ref="P107:P108"/>
    <mergeCell ref="Q107:Q108"/>
    <mergeCell ref="R107:R108"/>
    <mergeCell ref="C104:C105"/>
    <mergeCell ref="D104:D105"/>
    <mergeCell ref="E104:E105"/>
    <mergeCell ref="F104:F105"/>
    <mergeCell ref="T97:T100"/>
    <mergeCell ref="U97:U100"/>
    <mergeCell ref="A102:A103"/>
    <mergeCell ref="B102:B103"/>
    <mergeCell ref="E102:E103"/>
    <mergeCell ref="F102:F103"/>
    <mergeCell ref="G102:G103"/>
    <mergeCell ref="S102:S103"/>
    <mergeCell ref="T102:T103"/>
    <mergeCell ref="U102:U103"/>
    <mergeCell ref="A97:A100"/>
    <mergeCell ref="B97:B100"/>
    <mergeCell ref="E97:E100"/>
    <mergeCell ref="F97:F100"/>
    <mergeCell ref="G97:G100"/>
    <mergeCell ref="S97:S100"/>
    <mergeCell ref="S104:S105"/>
    <mergeCell ref="U104:U105"/>
    <mergeCell ref="N104:N105"/>
    <mergeCell ref="O104:O105"/>
    <mergeCell ref="T88:T90"/>
    <mergeCell ref="U88:U90"/>
    <mergeCell ref="A91:A96"/>
    <mergeCell ref="B91:B96"/>
    <mergeCell ref="E91:E96"/>
    <mergeCell ref="F91:F96"/>
    <mergeCell ref="G91:G96"/>
    <mergeCell ref="S91:S96"/>
    <mergeCell ref="T91:T96"/>
    <mergeCell ref="U91:U96"/>
    <mergeCell ref="A88:A90"/>
    <mergeCell ref="B88:B90"/>
    <mergeCell ref="E88:E90"/>
    <mergeCell ref="F88:F90"/>
    <mergeCell ref="G88:G90"/>
    <mergeCell ref="S88:S90"/>
    <mergeCell ref="T77:T79"/>
    <mergeCell ref="U77:U79"/>
    <mergeCell ref="A82:A87"/>
    <mergeCell ref="B82:B87"/>
    <mergeCell ref="E82:E87"/>
    <mergeCell ref="F82:F87"/>
    <mergeCell ref="G82:G87"/>
    <mergeCell ref="S82:S87"/>
    <mergeCell ref="T82:T87"/>
    <mergeCell ref="U82:U87"/>
    <mergeCell ref="A77:A79"/>
    <mergeCell ref="B77:B79"/>
    <mergeCell ref="E77:E79"/>
    <mergeCell ref="F77:F79"/>
    <mergeCell ref="G77:G79"/>
    <mergeCell ref="S77:S79"/>
    <mergeCell ref="U70:U73"/>
    <mergeCell ref="A74:A75"/>
    <mergeCell ref="B74:B75"/>
    <mergeCell ref="C74:C75"/>
    <mergeCell ref="D74:D75"/>
    <mergeCell ref="E74:E75"/>
    <mergeCell ref="F74:F75"/>
    <mergeCell ref="G74:G75"/>
    <mergeCell ref="H74:H75"/>
    <mergeCell ref="I74:I75"/>
    <mergeCell ref="P74:P75"/>
    <mergeCell ref="Q74:Q75"/>
    <mergeCell ref="R74:R75"/>
    <mergeCell ref="S74:S75"/>
    <mergeCell ref="T74:T75"/>
    <mergeCell ref="U74:U75"/>
    <mergeCell ref="J74:J75"/>
    <mergeCell ref="K74:K75"/>
    <mergeCell ref="L74:L75"/>
    <mergeCell ref="M74:M75"/>
    <mergeCell ref="N74:N75"/>
    <mergeCell ref="O74:O75"/>
    <mergeCell ref="S68:S69"/>
    <mergeCell ref="T68:T69"/>
    <mergeCell ref="U68:U69"/>
    <mergeCell ref="A70:A73"/>
    <mergeCell ref="B70:B73"/>
    <mergeCell ref="E70:E73"/>
    <mergeCell ref="F70:F73"/>
    <mergeCell ref="G70:G73"/>
    <mergeCell ref="S70:S73"/>
    <mergeCell ref="T70:T73"/>
    <mergeCell ref="M68:M69"/>
    <mergeCell ref="N68:N69"/>
    <mergeCell ref="O68:O69"/>
    <mergeCell ref="P68:P69"/>
    <mergeCell ref="Q68:Q69"/>
    <mergeCell ref="R68:R69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U62:U63"/>
    <mergeCell ref="A65:A67"/>
    <mergeCell ref="B65:B67"/>
    <mergeCell ref="E65:E67"/>
    <mergeCell ref="F65:F67"/>
    <mergeCell ref="G65:G67"/>
    <mergeCell ref="S65:S67"/>
    <mergeCell ref="T65:T67"/>
    <mergeCell ref="U65:U67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T60:T61"/>
    <mergeCell ref="U60:U61"/>
    <mergeCell ref="A62:A63"/>
    <mergeCell ref="B62:B63"/>
    <mergeCell ref="C62:C63"/>
    <mergeCell ref="D62:D63"/>
    <mergeCell ref="E62:E63"/>
    <mergeCell ref="F62:F63"/>
    <mergeCell ref="G62:G63"/>
    <mergeCell ref="H62:H63"/>
    <mergeCell ref="A60:A61"/>
    <mergeCell ref="B60:B61"/>
    <mergeCell ref="E60:E61"/>
    <mergeCell ref="F60:F61"/>
    <mergeCell ref="G60:G61"/>
    <mergeCell ref="S60:S61"/>
    <mergeCell ref="T51:T52"/>
    <mergeCell ref="U51:U52"/>
    <mergeCell ref="A53:A59"/>
    <mergeCell ref="B53:B59"/>
    <mergeCell ref="E53:E59"/>
    <mergeCell ref="F53:F59"/>
    <mergeCell ref="G53:G59"/>
    <mergeCell ref="S53:S59"/>
    <mergeCell ref="T53:T59"/>
    <mergeCell ref="U53:U59"/>
    <mergeCell ref="A51:A52"/>
    <mergeCell ref="B51:B52"/>
    <mergeCell ref="E51:E52"/>
    <mergeCell ref="F51:F52"/>
    <mergeCell ref="G51:G52"/>
    <mergeCell ref="S51:S52"/>
    <mergeCell ref="T47:T48"/>
    <mergeCell ref="U47:U48"/>
    <mergeCell ref="A49:A50"/>
    <mergeCell ref="B49:B50"/>
    <mergeCell ref="E49:E50"/>
    <mergeCell ref="F49:F50"/>
    <mergeCell ref="G49:G50"/>
    <mergeCell ref="S49:S50"/>
    <mergeCell ref="T49:T50"/>
    <mergeCell ref="U49:U50"/>
    <mergeCell ref="A47:A48"/>
    <mergeCell ref="B47:B48"/>
    <mergeCell ref="E47:E48"/>
    <mergeCell ref="F47:F48"/>
    <mergeCell ref="G47:G48"/>
    <mergeCell ref="S47:S48"/>
    <mergeCell ref="R45:R46"/>
    <mergeCell ref="S45:S46"/>
    <mergeCell ref="T45:T46"/>
    <mergeCell ref="U45:U46"/>
    <mergeCell ref="J45:J46"/>
    <mergeCell ref="K45:K46"/>
    <mergeCell ref="L45:L46"/>
    <mergeCell ref="M45:M46"/>
    <mergeCell ref="N45:N46"/>
    <mergeCell ref="O45:O46"/>
    <mergeCell ref="U43:U44"/>
    <mergeCell ref="A45:A46"/>
    <mergeCell ref="B45:B46"/>
    <mergeCell ref="C45:C46"/>
    <mergeCell ref="D45:D46"/>
    <mergeCell ref="E45:E46"/>
    <mergeCell ref="F45:F46"/>
    <mergeCell ref="G45:G46"/>
    <mergeCell ref="H45:H46"/>
    <mergeCell ref="I45:I46"/>
    <mergeCell ref="O43:O44"/>
    <mergeCell ref="P43:P44"/>
    <mergeCell ref="Q43:Q44"/>
    <mergeCell ref="R43:R44"/>
    <mergeCell ref="S43:S44"/>
    <mergeCell ref="T43:T44"/>
    <mergeCell ref="I43:I44"/>
    <mergeCell ref="J43:J44"/>
    <mergeCell ref="K43:K44"/>
    <mergeCell ref="L43:L44"/>
    <mergeCell ref="M43:M44"/>
    <mergeCell ref="N43:N44"/>
    <mergeCell ref="P45:P46"/>
    <mergeCell ref="Q45:Q46"/>
    <mergeCell ref="A43:A44"/>
    <mergeCell ref="B43:B44"/>
    <mergeCell ref="C43:C44"/>
    <mergeCell ref="D43:D44"/>
    <mergeCell ref="E43:E44"/>
    <mergeCell ref="F43:F44"/>
    <mergeCell ref="G43:G44"/>
    <mergeCell ref="H43:H44"/>
    <mergeCell ref="N40:N41"/>
    <mergeCell ref="H40:H41"/>
    <mergeCell ref="I40:I41"/>
    <mergeCell ref="J40:J41"/>
    <mergeCell ref="K40:K41"/>
    <mergeCell ref="L40:L41"/>
    <mergeCell ref="M40:M41"/>
    <mergeCell ref="A40:A42"/>
    <mergeCell ref="B40:B42"/>
    <mergeCell ref="C40:C41"/>
    <mergeCell ref="D40:D41"/>
    <mergeCell ref="E40:E42"/>
    <mergeCell ref="F40:F42"/>
    <mergeCell ref="G40:G42"/>
    <mergeCell ref="T40:T42"/>
    <mergeCell ref="U40:U42"/>
    <mergeCell ref="O40:O41"/>
    <mergeCell ref="P40:P41"/>
    <mergeCell ref="Q40:Q41"/>
    <mergeCell ref="R40:R41"/>
    <mergeCell ref="S40:S42"/>
    <mergeCell ref="P34:P35"/>
    <mergeCell ref="Q34:Q35"/>
    <mergeCell ref="R34:R35"/>
    <mergeCell ref="S34:S39"/>
    <mergeCell ref="T34:T39"/>
    <mergeCell ref="U34:U39"/>
    <mergeCell ref="J34:J35"/>
    <mergeCell ref="K34:K35"/>
    <mergeCell ref="L34:L35"/>
    <mergeCell ref="M34:M35"/>
    <mergeCell ref="N34:N35"/>
    <mergeCell ref="O34:O35"/>
    <mergeCell ref="R37:R38"/>
    <mergeCell ref="A34:A39"/>
    <mergeCell ref="B34:B39"/>
    <mergeCell ref="C34:C35"/>
    <mergeCell ref="D34:D35"/>
    <mergeCell ref="E34:E39"/>
    <mergeCell ref="F34:F38"/>
    <mergeCell ref="G34:G38"/>
    <mergeCell ref="H34:H35"/>
    <mergeCell ref="I34:I35"/>
    <mergeCell ref="C37:C38"/>
    <mergeCell ref="D37:D38"/>
    <mergeCell ref="A32:A33"/>
    <mergeCell ref="B32:B33"/>
    <mergeCell ref="C32:C33"/>
    <mergeCell ref="D32:D33"/>
    <mergeCell ref="E32:E33"/>
    <mergeCell ref="F32:F33"/>
    <mergeCell ref="G32:G33"/>
    <mergeCell ref="H32:H33"/>
    <mergeCell ref="U32:U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U27:U28"/>
    <mergeCell ref="A29:A31"/>
    <mergeCell ref="B29:B31"/>
    <mergeCell ref="E29:E31"/>
    <mergeCell ref="F29:F31"/>
    <mergeCell ref="G29:G31"/>
    <mergeCell ref="S29:S31"/>
    <mergeCell ref="T29:T31"/>
    <mergeCell ref="M27:M28"/>
    <mergeCell ref="N27:N28"/>
    <mergeCell ref="O27:O28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A27:A28"/>
    <mergeCell ref="B27:B28"/>
    <mergeCell ref="U29:U31"/>
    <mergeCell ref="R30:R31"/>
    <mergeCell ref="C27:C28"/>
    <mergeCell ref="D27:D28"/>
    <mergeCell ref="E27:E28"/>
    <mergeCell ref="F27:F28"/>
    <mergeCell ref="P25:P26"/>
    <mergeCell ref="Q25:Q26"/>
    <mergeCell ref="R25:R26"/>
    <mergeCell ref="S25:S26"/>
    <mergeCell ref="T25:T26"/>
    <mergeCell ref="S27:S28"/>
    <mergeCell ref="T27:T28"/>
    <mergeCell ref="U25:U26"/>
    <mergeCell ref="J25:J26"/>
    <mergeCell ref="K25:K26"/>
    <mergeCell ref="L25:L26"/>
    <mergeCell ref="M25:M26"/>
    <mergeCell ref="N25:N26"/>
    <mergeCell ref="O25:O26"/>
    <mergeCell ref="U22:U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O22:O23"/>
    <mergeCell ref="P22:P23"/>
    <mergeCell ref="Q22:Q23"/>
    <mergeCell ref="R22:R23"/>
    <mergeCell ref="S22:S24"/>
    <mergeCell ref="T22:T24"/>
    <mergeCell ref="I22:I23"/>
    <mergeCell ref="J22:J23"/>
    <mergeCell ref="K22:K23"/>
    <mergeCell ref="L22:L23"/>
    <mergeCell ref="M22:M23"/>
    <mergeCell ref="N22:N23"/>
    <mergeCell ref="T18:T21"/>
    <mergeCell ref="U18:U21"/>
    <mergeCell ref="A22:A24"/>
    <mergeCell ref="B22:B24"/>
    <mergeCell ref="C22:C23"/>
    <mergeCell ref="D22:D23"/>
    <mergeCell ref="E22:E24"/>
    <mergeCell ref="F22:F24"/>
    <mergeCell ref="G22:G24"/>
    <mergeCell ref="H22:H23"/>
    <mergeCell ref="N18:N19"/>
    <mergeCell ref="O18:O19"/>
    <mergeCell ref="P18:P19"/>
    <mergeCell ref="Q18:Q19"/>
    <mergeCell ref="R18:R20"/>
    <mergeCell ref="S18:S21"/>
    <mergeCell ref="H18:H19"/>
    <mergeCell ref="I18:I19"/>
    <mergeCell ref="J18:J19"/>
    <mergeCell ref="K18:K19"/>
    <mergeCell ref="L18:L19"/>
    <mergeCell ref="M18:M19"/>
    <mergeCell ref="S14:S17"/>
    <mergeCell ref="T14:T17"/>
    <mergeCell ref="U14:U17"/>
    <mergeCell ref="A18:A21"/>
    <mergeCell ref="B18:B21"/>
    <mergeCell ref="C18:C19"/>
    <mergeCell ref="D18:D19"/>
    <mergeCell ref="E18:E21"/>
    <mergeCell ref="F18:F21"/>
    <mergeCell ref="G18:G21"/>
    <mergeCell ref="M14:M15"/>
    <mergeCell ref="N14:N15"/>
    <mergeCell ref="O14:O15"/>
    <mergeCell ref="P14:P15"/>
    <mergeCell ref="Q14:Q15"/>
    <mergeCell ref="R14:R16"/>
    <mergeCell ref="G14:G16"/>
    <mergeCell ref="H14:H15"/>
    <mergeCell ref="I14:I15"/>
    <mergeCell ref="J14:J15"/>
    <mergeCell ref="K14:K15"/>
    <mergeCell ref="L14:L15"/>
    <mergeCell ref="A14:A17"/>
    <mergeCell ref="B14:B17"/>
    <mergeCell ref="C14:C15"/>
    <mergeCell ref="D14:D15"/>
    <mergeCell ref="E14:E17"/>
    <mergeCell ref="F14:F16"/>
    <mergeCell ref="S10:S11"/>
    <mergeCell ref="T10:T11"/>
    <mergeCell ref="A12:A13"/>
    <mergeCell ref="B12:B13"/>
    <mergeCell ref="E12:E13"/>
    <mergeCell ref="S12:S13"/>
    <mergeCell ref="T12:T13"/>
    <mergeCell ref="U12:U13"/>
    <mergeCell ref="M10:M11"/>
    <mergeCell ref="N10:N11"/>
    <mergeCell ref="O10:O11"/>
    <mergeCell ref="P10:P11"/>
    <mergeCell ref="Q10:Q11"/>
    <mergeCell ref="R10:R11"/>
    <mergeCell ref="G10:G11"/>
    <mergeCell ref="H10:H11"/>
    <mergeCell ref="I10:I11"/>
    <mergeCell ref="J10:J11"/>
    <mergeCell ref="K10:K11"/>
    <mergeCell ref="L10:L11"/>
    <mergeCell ref="U7:U9"/>
    <mergeCell ref="A10:A11"/>
    <mergeCell ref="B10:B11"/>
    <mergeCell ref="C10:C11"/>
    <mergeCell ref="D10:D11"/>
    <mergeCell ref="E10:E11"/>
    <mergeCell ref="F10:F11"/>
    <mergeCell ref="L7:L9"/>
    <mergeCell ref="M7:M9"/>
    <mergeCell ref="N7:N9"/>
    <mergeCell ref="O7:O9"/>
    <mergeCell ref="P7:P9"/>
    <mergeCell ref="Q7:Q9"/>
    <mergeCell ref="F7:F8"/>
    <mergeCell ref="G7:G8"/>
    <mergeCell ref="H7:H9"/>
    <mergeCell ref="I7:I9"/>
    <mergeCell ref="J7:J9"/>
    <mergeCell ref="K7:K9"/>
    <mergeCell ref="U10:U11"/>
    <mergeCell ref="R4:R5"/>
    <mergeCell ref="A7:A9"/>
    <mergeCell ref="B7:B9"/>
    <mergeCell ref="C7:C8"/>
    <mergeCell ref="D7:D8"/>
    <mergeCell ref="E7:E9"/>
    <mergeCell ref="R7:R9"/>
    <mergeCell ref="S7:S9"/>
    <mergeCell ref="T7:T9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  <mergeCell ref="O4:O5"/>
    <mergeCell ref="P4:P5"/>
    <mergeCell ref="Q4:Q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D48CB-B784-4B47-B639-CE53E93D6FF1}">
  <dimension ref="A1:AF100"/>
  <sheetViews>
    <sheetView workbookViewId="0">
      <selection activeCell="V5" sqref="V5"/>
    </sheetView>
  </sheetViews>
  <sheetFormatPr defaultColWidth="8.88671875" defaultRowHeight="14.4" x14ac:dyDescent="0.3"/>
  <cols>
    <col min="1" max="1" width="15.33203125" style="1" bestFit="1" customWidth="1"/>
    <col min="2" max="2" width="33.6640625" style="62" customWidth="1"/>
    <col min="3" max="3" width="10.6640625" style="74" customWidth="1"/>
    <col min="4" max="7" width="8.88671875" style="74"/>
    <col min="8" max="8" width="10.44140625" style="1" customWidth="1"/>
    <col min="9" max="9" width="24.109375" style="1" customWidth="1"/>
    <col min="10" max="10" width="11.33203125" style="1" customWidth="1"/>
    <col min="11" max="12" width="8.88671875" style="1"/>
    <col min="13" max="13" width="11.6640625" style="1" customWidth="1"/>
    <col min="14" max="14" width="11.5546875" style="1" customWidth="1"/>
    <col min="15" max="15" width="12.6640625" style="1" customWidth="1"/>
    <col min="16" max="17" width="8.88671875" style="1"/>
    <col min="18" max="18" width="22.109375" style="74" customWidth="1"/>
    <col min="19" max="19" width="18.109375" style="1" customWidth="1"/>
    <col min="20" max="20" width="51.33203125" style="1" customWidth="1"/>
    <col min="21" max="21" width="32.88671875" style="1" customWidth="1"/>
    <col min="22" max="16384" width="8.88671875" style="1"/>
  </cols>
  <sheetData>
    <row r="1" spans="1:21" ht="18" thickBot="1" x14ac:dyDescent="0.35">
      <c r="A1" s="589" t="s">
        <v>206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ht="15" thickBot="1" x14ac:dyDescent="0.35">
      <c r="A2" s="670" t="s">
        <v>1</v>
      </c>
      <c r="B2" s="672" t="s">
        <v>2</v>
      </c>
      <c r="C2" s="674" t="s">
        <v>3</v>
      </c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6"/>
      <c r="R2" s="672" t="s">
        <v>4</v>
      </c>
      <c r="S2" s="678" t="s">
        <v>5</v>
      </c>
      <c r="T2" s="680" t="s">
        <v>207</v>
      </c>
      <c r="U2" s="682" t="s">
        <v>7</v>
      </c>
    </row>
    <row r="3" spans="1:21" ht="31.2" customHeight="1" thickBot="1" x14ac:dyDescent="0.35">
      <c r="A3" s="671"/>
      <c r="B3" s="673"/>
      <c r="C3" s="684" t="s">
        <v>8</v>
      </c>
      <c r="D3" s="685"/>
      <c r="E3" s="685"/>
      <c r="F3" s="685"/>
      <c r="G3" s="686"/>
      <c r="H3" s="684" t="s">
        <v>9</v>
      </c>
      <c r="I3" s="685"/>
      <c r="J3" s="685"/>
      <c r="K3" s="685"/>
      <c r="L3" s="685"/>
      <c r="M3" s="685"/>
      <c r="N3" s="685"/>
      <c r="O3" s="686"/>
      <c r="P3" s="684" t="s">
        <v>10</v>
      </c>
      <c r="Q3" s="686"/>
      <c r="R3" s="677"/>
      <c r="S3" s="679"/>
      <c r="T3" s="681"/>
      <c r="U3" s="683"/>
    </row>
    <row r="4" spans="1:21" ht="15" thickBot="1" x14ac:dyDescent="0.35">
      <c r="A4" s="671"/>
      <c r="B4" s="673"/>
      <c r="C4" s="684" t="s">
        <v>11</v>
      </c>
      <c r="D4" s="686"/>
      <c r="E4" s="687" t="s">
        <v>12</v>
      </c>
      <c r="F4" s="687" t="s">
        <v>208</v>
      </c>
      <c r="G4" s="687" t="s">
        <v>14</v>
      </c>
      <c r="H4" s="687" t="s">
        <v>15</v>
      </c>
      <c r="I4" s="684" t="s">
        <v>16</v>
      </c>
      <c r="J4" s="686"/>
      <c r="K4" s="687" t="s">
        <v>17</v>
      </c>
      <c r="L4" s="687" t="s">
        <v>208</v>
      </c>
      <c r="M4" s="687" t="s">
        <v>209</v>
      </c>
      <c r="N4" s="687" t="s">
        <v>19</v>
      </c>
      <c r="O4" s="687" t="s">
        <v>210</v>
      </c>
      <c r="P4" s="687" t="s">
        <v>211</v>
      </c>
      <c r="Q4" s="687" t="s">
        <v>17</v>
      </c>
      <c r="R4" s="687" t="s">
        <v>21</v>
      </c>
      <c r="S4" s="679"/>
      <c r="T4" s="681"/>
      <c r="U4" s="683"/>
    </row>
    <row r="5" spans="1:21" ht="67.95" customHeight="1" thickBot="1" x14ac:dyDescent="0.35">
      <c r="A5" s="671"/>
      <c r="B5" s="673"/>
      <c r="C5" s="63" t="s">
        <v>22</v>
      </c>
      <c r="D5" s="63" t="s">
        <v>23</v>
      </c>
      <c r="E5" s="673"/>
      <c r="F5" s="673"/>
      <c r="G5" s="673"/>
      <c r="H5" s="673"/>
      <c r="I5" s="63" t="s">
        <v>24</v>
      </c>
      <c r="J5" s="63" t="s">
        <v>25</v>
      </c>
      <c r="K5" s="673"/>
      <c r="L5" s="673"/>
      <c r="M5" s="673"/>
      <c r="N5" s="673"/>
      <c r="O5" s="673"/>
      <c r="P5" s="673"/>
      <c r="Q5" s="673"/>
      <c r="R5" s="673"/>
      <c r="S5" s="679"/>
      <c r="T5" s="681"/>
      <c r="U5" s="683"/>
    </row>
    <row r="6" spans="1:21" s="6" customFormat="1" ht="12.6" thickBot="1" x14ac:dyDescent="0.3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66">
        <v>21</v>
      </c>
    </row>
    <row r="7" spans="1:21" ht="55.2" customHeight="1" thickBot="1" x14ac:dyDescent="0.35">
      <c r="A7" s="67" t="s">
        <v>212</v>
      </c>
      <c r="B7" s="45" t="s">
        <v>213</v>
      </c>
      <c r="C7" s="68">
        <v>0</v>
      </c>
      <c r="D7" s="68">
        <v>0.56899999999999995</v>
      </c>
      <c r="E7" s="68">
        <v>0.56899999999999995</v>
      </c>
      <c r="F7" s="57">
        <v>2725</v>
      </c>
      <c r="G7" s="57" t="s">
        <v>51</v>
      </c>
      <c r="H7" s="57"/>
      <c r="I7" s="57"/>
      <c r="J7" s="57"/>
      <c r="K7" s="57"/>
      <c r="L7" s="57"/>
      <c r="M7" s="57"/>
      <c r="N7" s="57"/>
      <c r="O7" s="57"/>
      <c r="P7" s="57"/>
      <c r="Q7" s="57"/>
      <c r="R7" s="57">
        <v>70440020142</v>
      </c>
      <c r="S7" s="57" t="s">
        <v>214</v>
      </c>
      <c r="T7" s="57" t="s">
        <v>215</v>
      </c>
      <c r="U7" s="58" t="s">
        <v>67</v>
      </c>
    </row>
    <row r="8" spans="1:21" ht="24.6" thickBot="1" x14ac:dyDescent="0.35">
      <c r="A8" s="69" t="s">
        <v>216</v>
      </c>
      <c r="B8" s="23" t="s">
        <v>217</v>
      </c>
      <c r="C8" s="41">
        <v>0</v>
      </c>
      <c r="D8" s="41">
        <v>0.34599999999999997</v>
      </c>
      <c r="E8" s="41">
        <v>0.35599999999999998</v>
      </c>
      <c r="F8" s="3">
        <v>1424</v>
      </c>
      <c r="G8" s="3" t="s">
        <v>218</v>
      </c>
      <c r="H8" s="4"/>
      <c r="I8" s="3"/>
      <c r="J8" s="3"/>
      <c r="K8" s="3"/>
      <c r="L8" s="3"/>
      <c r="M8" s="3"/>
      <c r="N8" s="3"/>
      <c r="O8" s="3"/>
      <c r="P8" s="3"/>
      <c r="Q8" s="3"/>
      <c r="R8" s="3">
        <v>70440080327</v>
      </c>
      <c r="S8" s="3" t="s">
        <v>219</v>
      </c>
      <c r="T8" s="3" t="s">
        <v>215</v>
      </c>
      <c r="U8" s="5"/>
    </row>
    <row r="9" spans="1:21" ht="24.6" thickBot="1" x14ac:dyDescent="0.35">
      <c r="A9" s="69" t="s">
        <v>220</v>
      </c>
      <c r="B9" s="23" t="s">
        <v>221</v>
      </c>
      <c r="C9" s="41">
        <v>0</v>
      </c>
      <c r="D9" s="41">
        <v>0.28899999999999998</v>
      </c>
      <c r="E9" s="41">
        <v>0.28899999999999998</v>
      </c>
      <c r="F9" s="4">
        <v>1688.5</v>
      </c>
      <c r="G9" s="3" t="s">
        <v>51</v>
      </c>
      <c r="H9" s="4"/>
      <c r="I9" s="3"/>
      <c r="J9" s="3"/>
      <c r="K9" s="3"/>
      <c r="L9" s="3"/>
      <c r="M9" s="3"/>
      <c r="N9" s="3"/>
      <c r="O9" s="3"/>
      <c r="P9" s="3"/>
      <c r="Q9" s="3"/>
      <c r="R9" s="3">
        <v>70440080323</v>
      </c>
      <c r="S9" s="3" t="s">
        <v>219</v>
      </c>
      <c r="T9" s="3" t="s">
        <v>215</v>
      </c>
      <c r="U9" s="5"/>
    </row>
    <row r="10" spans="1:21" ht="24.6" thickBot="1" x14ac:dyDescent="0.35">
      <c r="A10" s="69" t="s">
        <v>222</v>
      </c>
      <c r="B10" s="23" t="s">
        <v>223</v>
      </c>
      <c r="C10" s="41">
        <v>0</v>
      </c>
      <c r="D10" s="41">
        <v>1.0229999999999999</v>
      </c>
      <c r="E10" s="41">
        <v>1.0229999999999999</v>
      </c>
      <c r="F10" s="4">
        <v>7051.6</v>
      </c>
      <c r="G10" s="3" t="s">
        <v>51</v>
      </c>
      <c r="H10" s="4"/>
      <c r="I10" s="3"/>
      <c r="J10" s="3"/>
      <c r="K10" s="3"/>
      <c r="L10" s="3"/>
      <c r="M10" s="3"/>
      <c r="N10" s="3"/>
      <c r="O10" s="3"/>
      <c r="P10" s="3"/>
      <c r="Q10" s="3"/>
      <c r="R10" s="3">
        <v>70440080243</v>
      </c>
      <c r="S10" s="3" t="s">
        <v>219</v>
      </c>
      <c r="T10" s="3" t="s">
        <v>215</v>
      </c>
      <c r="U10" s="5"/>
    </row>
    <row r="11" spans="1:21" ht="24.6" thickBot="1" x14ac:dyDescent="0.35">
      <c r="A11" s="69" t="s">
        <v>224</v>
      </c>
      <c r="B11" s="23" t="s">
        <v>87</v>
      </c>
      <c r="C11" s="41">
        <v>0</v>
      </c>
      <c r="D11" s="41">
        <v>0.125</v>
      </c>
      <c r="E11" s="41">
        <v>0.125</v>
      </c>
      <c r="F11" s="3">
        <v>657</v>
      </c>
      <c r="G11" s="3" t="s">
        <v>51</v>
      </c>
      <c r="H11" s="4"/>
      <c r="I11" s="3"/>
      <c r="J11" s="3"/>
      <c r="K11" s="3"/>
      <c r="L11" s="3"/>
      <c r="M11" s="3"/>
      <c r="N11" s="3"/>
      <c r="O11" s="3"/>
      <c r="P11" s="3"/>
      <c r="Q11" s="3"/>
      <c r="R11" s="3">
        <v>70440080328</v>
      </c>
      <c r="S11" s="3" t="s">
        <v>219</v>
      </c>
      <c r="T11" s="3" t="s">
        <v>215</v>
      </c>
      <c r="U11" s="5"/>
    </row>
    <row r="12" spans="1:21" ht="24.6" thickBot="1" x14ac:dyDescent="0.35">
      <c r="A12" s="69" t="s">
        <v>225</v>
      </c>
      <c r="B12" s="23" t="s">
        <v>226</v>
      </c>
      <c r="C12" s="41">
        <v>0</v>
      </c>
      <c r="D12" s="41">
        <v>0.29099999999999998</v>
      </c>
      <c r="E12" s="41">
        <v>0.29099999999999998</v>
      </c>
      <c r="F12" s="3">
        <v>1146</v>
      </c>
      <c r="G12" s="3" t="s">
        <v>51</v>
      </c>
      <c r="H12" s="25"/>
      <c r="I12" s="3"/>
      <c r="J12" s="3"/>
      <c r="K12" s="3"/>
      <c r="L12" s="3"/>
      <c r="M12" s="3"/>
      <c r="N12" s="3"/>
      <c r="O12" s="3"/>
      <c r="P12" s="3"/>
      <c r="Q12" s="3"/>
      <c r="R12" s="3">
        <v>70440080324</v>
      </c>
      <c r="S12" s="3" t="s">
        <v>219</v>
      </c>
      <c r="T12" s="3" t="s">
        <v>215</v>
      </c>
      <c r="U12" s="5"/>
    </row>
    <row r="13" spans="1:21" ht="16.5" customHeight="1" x14ac:dyDescent="0.3">
      <c r="A13" s="688" t="s">
        <v>227</v>
      </c>
      <c r="B13" s="607" t="s">
        <v>228</v>
      </c>
      <c r="C13" s="43">
        <v>0</v>
      </c>
      <c r="D13" s="43">
        <v>0.53</v>
      </c>
      <c r="E13" s="645">
        <v>0.65</v>
      </c>
      <c r="F13" s="647">
        <v>2887.5</v>
      </c>
      <c r="G13" s="641" t="s">
        <v>51</v>
      </c>
      <c r="H13" s="44"/>
      <c r="I13" s="33"/>
      <c r="J13" s="33"/>
      <c r="K13" s="33"/>
      <c r="L13" s="33"/>
      <c r="M13" s="33"/>
      <c r="N13" s="33"/>
      <c r="O13" s="33"/>
      <c r="P13" s="33"/>
      <c r="Q13" s="33"/>
      <c r="R13" s="33">
        <v>70440080242</v>
      </c>
      <c r="S13" s="641" t="s">
        <v>219</v>
      </c>
      <c r="T13" s="641" t="s">
        <v>215</v>
      </c>
      <c r="U13" s="642" t="s">
        <v>67</v>
      </c>
    </row>
    <row r="14" spans="1:21" ht="35.25" customHeight="1" thickBot="1" x14ac:dyDescent="0.35">
      <c r="A14" s="689"/>
      <c r="B14" s="609"/>
      <c r="C14" s="46">
        <v>0.53</v>
      </c>
      <c r="D14" s="46">
        <v>0.65</v>
      </c>
      <c r="E14" s="646"/>
      <c r="F14" s="648"/>
      <c r="G14" s="634"/>
      <c r="H14" s="47"/>
      <c r="I14" s="20"/>
      <c r="J14" s="20"/>
      <c r="K14" s="20"/>
      <c r="L14" s="20"/>
      <c r="M14" s="20"/>
      <c r="N14" s="20"/>
      <c r="O14" s="20"/>
      <c r="P14" s="20"/>
      <c r="Q14" s="20"/>
      <c r="R14" s="20">
        <v>70440080343</v>
      </c>
      <c r="S14" s="634"/>
      <c r="T14" s="634"/>
      <c r="U14" s="637"/>
    </row>
    <row r="15" spans="1:21" ht="24.6" thickBot="1" x14ac:dyDescent="0.35">
      <c r="A15" s="69" t="s">
        <v>229</v>
      </c>
      <c r="B15" s="23" t="s">
        <v>230</v>
      </c>
      <c r="C15" s="41">
        <v>0</v>
      </c>
      <c r="D15" s="41">
        <v>0.55000000000000004</v>
      </c>
      <c r="E15" s="41">
        <v>0.55000000000000004</v>
      </c>
      <c r="F15" s="4">
        <f>E15*4500</f>
        <v>2475</v>
      </c>
      <c r="G15" s="3" t="s">
        <v>51</v>
      </c>
      <c r="H15" s="4"/>
      <c r="I15" s="4"/>
      <c r="J15" s="3"/>
      <c r="K15" s="3"/>
      <c r="L15" s="3"/>
      <c r="M15" s="3"/>
      <c r="N15" s="3"/>
      <c r="O15" s="3"/>
      <c r="P15" s="3"/>
      <c r="Q15" s="3"/>
      <c r="R15" s="3">
        <v>70440080244</v>
      </c>
      <c r="S15" s="3" t="s">
        <v>219</v>
      </c>
      <c r="T15" s="3" t="s">
        <v>215</v>
      </c>
      <c r="U15" s="5" t="s">
        <v>67</v>
      </c>
    </row>
    <row r="16" spans="1:21" ht="24.6" thickBot="1" x14ac:dyDescent="0.35">
      <c r="A16" s="69" t="s">
        <v>231</v>
      </c>
      <c r="B16" s="23" t="s">
        <v>232</v>
      </c>
      <c r="C16" s="41">
        <v>0</v>
      </c>
      <c r="D16" s="41">
        <v>0.33700000000000002</v>
      </c>
      <c r="E16" s="41">
        <v>0.33700000000000002</v>
      </c>
      <c r="F16" s="3">
        <v>2352</v>
      </c>
      <c r="G16" s="3" t="s">
        <v>51</v>
      </c>
      <c r="H16" s="4"/>
      <c r="I16" s="3"/>
      <c r="J16" s="3"/>
      <c r="K16" s="3"/>
      <c r="L16" s="3"/>
      <c r="M16" s="3"/>
      <c r="N16" s="3"/>
      <c r="O16" s="3"/>
      <c r="P16" s="3"/>
      <c r="Q16" s="3"/>
      <c r="R16" s="3">
        <v>70440080238</v>
      </c>
      <c r="S16" s="3" t="s">
        <v>219</v>
      </c>
      <c r="T16" s="3" t="s">
        <v>215</v>
      </c>
      <c r="U16" s="5" t="s">
        <v>67</v>
      </c>
    </row>
    <row r="17" spans="1:21" ht="24.6" thickBot="1" x14ac:dyDescent="0.35">
      <c r="A17" s="69" t="s">
        <v>233</v>
      </c>
      <c r="B17" s="23" t="s">
        <v>36</v>
      </c>
      <c r="C17" s="41">
        <v>0</v>
      </c>
      <c r="D17" s="41">
        <v>0.13500000000000001</v>
      </c>
      <c r="E17" s="41">
        <v>0.13500000000000001</v>
      </c>
      <c r="F17" s="3">
        <v>882</v>
      </c>
      <c r="G17" s="3" t="s">
        <v>51</v>
      </c>
      <c r="H17" s="4"/>
      <c r="I17" s="3"/>
      <c r="J17" s="3"/>
      <c r="K17" s="3"/>
      <c r="L17" s="3"/>
      <c r="M17" s="3"/>
      <c r="N17" s="3"/>
      <c r="O17" s="3"/>
      <c r="P17" s="3">
        <f>Q17*1.7</f>
        <v>229.5</v>
      </c>
      <c r="Q17" s="3">
        <v>135</v>
      </c>
      <c r="R17" s="3">
        <v>70440080325</v>
      </c>
      <c r="S17" s="3" t="s">
        <v>219</v>
      </c>
      <c r="T17" s="3" t="s">
        <v>215</v>
      </c>
      <c r="U17" s="5"/>
    </row>
    <row r="18" spans="1:21" ht="30.6" customHeight="1" x14ac:dyDescent="0.3">
      <c r="A18" s="688" t="s">
        <v>234</v>
      </c>
      <c r="B18" s="691" t="s">
        <v>235</v>
      </c>
      <c r="C18" s="43">
        <v>0</v>
      </c>
      <c r="D18" s="43">
        <v>5.2999999999999999E-2</v>
      </c>
      <c r="E18" s="645">
        <v>0.40799999999999997</v>
      </c>
      <c r="F18" s="641">
        <v>1536</v>
      </c>
      <c r="G18" s="33" t="s">
        <v>51</v>
      </c>
      <c r="H18" s="44"/>
      <c r="I18" s="44"/>
      <c r="J18" s="33"/>
      <c r="K18" s="33"/>
      <c r="L18" s="33"/>
      <c r="M18" s="33"/>
      <c r="N18" s="33"/>
      <c r="O18" s="33"/>
      <c r="P18" s="33"/>
      <c r="Q18" s="33"/>
      <c r="R18" s="33">
        <v>70440080295</v>
      </c>
      <c r="S18" s="641" t="s">
        <v>219</v>
      </c>
      <c r="T18" s="641" t="s">
        <v>215</v>
      </c>
      <c r="U18" s="642"/>
    </row>
    <row r="19" spans="1:21" ht="30.6" customHeight="1" x14ac:dyDescent="0.3">
      <c r="A19" s="690"/>
      <c r="B19" s="692"/>
      <c r="C19" s="48">
        <v>5.2999999999999999E-2</v>
      </c>
      <c r="D19" s="48">
        <v>7.1999999999999995E-2</v>
      </c>
      <c r="E19" s="654"/>
      <c r="F19" s="633"/>
      <c r="G19" s="14" t="s">
        <v>51</v>
      </c>
      <c r="H19" s="49"/>
      <c r="I19" s="49"/>
      <c r="J19" s="14"/>
      <c r="K19" s="14"/>
      <c r="L19" s="14"/>
      <c r="M19" s="14"/>
      <c r="N19" s="14"/>
      <c r="O19" s="14"/>
      <c r="P19" s="14"/>
      <c r="Q19" s="14"/>
      <c r="R19" s="14">
        <v>70440080211</v>
      </c>
      <c r="S19" s="633"/>
      <c r="T19" s="633"/>
      <c r="U19" s="636"/>
    </row>
    <row r="20" spans="1:21" ht="30.6" customHeight="1" thickBot="1" x14ac:dyDescent="0.35">
      <c r="A20" s="689"/>
      <c r="B20" s="693"/>
      <c r="C20" s="46">
        <v>7.1999999999999995E-2</v>
      </c>
      <c r="D20" s="46">
        <v>0.40799999999999997</v>
      </c>
      <c r="E20" s="646"/>
      <c r="F20" s="634"/>
      <c r="G20" s="20" t="s">
        <v>32</v>
      </c>
      <c r="H20" s="47"/>
      <c r="I20" s="47"/>
      <c r="J20" s="20"/>
      <c r="K20" s="20"/>
      <c r="L20" s="20"/>
      <c r="M20" s="20"/>
      <c r="N20" s="20"/>
      <c r="O20" s="20"/>
      <c r="P20" s="20"/>
      <c r="Q20" s="20"/>
      <c r="R20" s="20">
        <v>70440080211</v>
      </c>
      <c r="S20" s="634"/>
      <c r="T20" s="634"/>
      <c r="U20" s="637"/>
    </row>
    <row r="21" spans="1:21" ht="24" customHeight="1" x14ac:dyDescent="0.3">
      <c r="A21" s="604" t="s">
        <v>236</v>
      </c>
      <c r="B21" s="607" t="s">
        <v>237</v>
      </c>
      <c r="C21" s="30">
        <v>0</v>
      </c>
      <c r="D21" s="30">
        <v>1.538</v>
      </c>
      <c r="E21" s="610">
        <v>8.4320000000000004</v>
      </c>
      <c r="F21" s="640">
        <v>45760</v>
      </c>
      <c r="G21" s="34" t="s">
        <v>32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>
        <v>70440080242</v>
      </c>
      <c r="S21" s="640"/>
      <c r="T21" s="641" t="s">
        <v>215</v>
      </c>
      <c r="U21" s="642"/>
    </row>
    <row r="22" spans="1:21" ht="24" customHeight="1" x14ac:dyDescent="0.3">
      <c r="A22" s="605"/>
      <c r="B22" s="608"/>
      <c r="C22" s="10">
        <v>1.538</v>
      </c>
      <c r="D22" s="10">
        <v>7.1260000000000003</v>
      </c>
      <c r="E22" s="611"/>
      <c r="F22" s="621"/>
      <c r="G22" s="13" t="s">
        <v>32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>
        <v>70440090063</v>
      </c>
      <c r="S22" s="621"/>
      <c r="T22" s="633"/>
      <c r="U22" s="636"/>
    </row>
    <row r="23" spans="1:21" s="72" customFormat="1" ht="24" customHeight="1" thickBot="1" x14ac:dyDescent="0.25">
      <c r="A23" s="606"/>
      <c r="B23" s="609"/>
      <c r="C23" s="46">
        <v>7.1260000000000003</v>
      </c>
      <c r="D23" s="46">
        <v>8.4320000000000004</v>
      </c>
      <c r="E23" s="612"/>
      <c r="F23" s="631"/>
      <c r="G23" s="20" t="s">
        <v>32</v>
      </c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>
        <v>70440050097</v>
      </c>
      <c r="S23" s="631"/>
      <c r="T23" s="634"/>
      <c r="U23" s="637"/>
    </row>
    <row r="24" spans="1:21" ht="24.6" thickBot="1" x14ac:dyDescent="0.35">
      <c r="A24" s="69" t="s">
        <v>238</v>
      </c>
      <c r="B24" s="23" t="s">
        <v>230</v>
      </c>
      <c r="C24" s="41">
        <v>0</v>
      </c>
      <c r="D24" s="41">
        <v>0.1</v>
      </c>
      <c r="E24" s="41">
        <v>0.1</v>
      </c>
      <c r="F24" s="3">
        <v>405</v>
      </c>
      <c r="G24" s="3" t="s">
        <v>32</v>
      </c>
      <c r="H24" s="4"/>
      <c r="I24" s="3"/>
      <c r="J24" s="3"/>
      <c r="K24" s="3"/>
      <c r="L24" s="3"/>
      <c r="M24" s="3"/>
      <c r="N24" s="3"/>
      <c r="O24" s="3"/>
      <c r="P24" s="3"/>
      <c r="Q24" s="3"/>
      <c r="R24" s="3">
        <v>70440020179</v>
      </c>
      <c r="S24" s="3" t="s">
        <v>214</v>
      </c>
      <c r="T24" s="3" t="s">
        <v>215</v>
      </c>
      <c r="U24" s="5"/>
    </row>
    <row r="25" spans="1:21" x14ac:dyDescent="0.3">
      <c r="A25" s="688" t="s">
        <v>239</v>
      </c>
      <c r="B25" s="607" t="s">
        <v>240</v>
      </c>
      <c r="C25" s="43">
        <v>0</v>
      </c>
      <c r="D25" s="43">
        <v>0.18</v>
      </c>
      <c r="E25" s="645">
        <v>0.23</v>
      </c>
      <c r="F25" s="647">
        <v>832.5</v>
      </c>
      <c r="G25" s="33" t="s">
        <v>51</v>
      </c>
      <c r="H25" s="44"/>
      <c r="I25" s="33"/>
      <c r="J25" s="33"/>
      <c r="K25" s="33"/>
      <c r="L25" s="33"/>
      <c r="M25" s="33"/>
      <c r="N25" s="33"/>
      <c r="O25" s="33"/>
      <c r="P25" s="33"/>
      <c r="Q25" s="33"/>
      <c r="R25" s="33">
        <v>70440080321</v>
      </c>
      <c r="S25" s="641" t="s">
        <v>219</v>
      </c>
      <c r="T25" s="641" t="s">
        <v>215</v>
      </c>
      <c r="U25" s="642" t="s">
        <v>241</v>
      </c>
    </row>
    <row r="26" spans="1:21" ht="33.75" customHeight="1" thickBot="1" x14ac:dyDescent="0.35">
      <c r="A26" s="689"/>
      <c r="B26" s="609"/>
      <c r="C26" s="46">
        <v>0.18</v>
      </c>
      <c r="D26" s="46">
        <v>0.23</v>
      </c>
      <c r="E26" s="646"/>
      <c r="F26" s="648"/>
      <c r="G26" s="20" t="s">
        <v>32</v>
      </c>
      <c r="H26" s="47"/>
      <c r="I26" s="20"/>
      <c r="J26" s="20"/>
      <c r="K26" s="20"/>
      <c r="L26" s="20"/>
      <c r="M26" s="20"/>
      <c r="N26" s="20"/>
      <c r="O26" s="20"/>
      <c r="P26" s="20"/>
      <c r="Q26" s="20"/>
      <c r="R26" s="20">
        <v>70440080334</v>
      </c>
      <c r="S26" s="634"/>
      <c r="T26" s="634"/>
      <c r="U26" s="637"/>
    </row>
    <row r="27" spans="1:21" ht="27" thickBot="1" x14ac:dyDescent="0.35">
      <c r="A27" s="69" t="s">
        <v>242</v>
      </c>
      <c r="B27" s="23" t="s">
        <v>243</v>
      </c>
      <c r="C27" s="41">
        <v>0</v>
      </c>
      <c r="D27" s="41">
        <v>0.32</v>
      </c>
      <c r="E27" s="41">
        <v>0.32</v>
      </c>
      <c r="F27" s="3">
        <v>1655</v>
      </c>
      <c r="G27" s="3" t="s">
        <v>32</v>
      </c>
      <c r="H27" s="4"/>
      <c r="I27" s="3"/>
      <c r="J27" s="3"/>
      <c r="K27" s="3"/>
      <c r="L27" s="3"/>
      <c r="M27" s="3"/>
      <c r="N27" s="3"/>
      <c r="O27" s="3"/>
      <c r="P27" s="3"/>
      <c r="Q27" s="3"/>
      <c r="R27" s="3">
        <v>70440080335</v>
      </c>
      <c r="S27" s="3" t="s">
        <v>219</v>
      </c>
      <c r="T27" s="3" t="s">
        <v>215</v>
      </c>
      <c r="U27" s="5" t="s">
        <v>67</v>
      </c>
    </row>
    <row r="28" spans="1:21" ht="24.6" thickBot="1" x14ac:dyDescent="0.35">
      <c r="A28" s="69" t="s">
        <v>244</v>
      </c>
      <c r="B28" s="23" t="s">
        <v>245</v>
      </c>
      <c r="C28" s="41">
        <v>0</v>
      </c>
      <c r="D28" s="41">
        <v>0.28999999999999998</v>
      </c>
      <c r="E28" s="41">
        <v>0.28999999999999998</v>
      </c>
      <c r="F28" s="4">
        <v>1237.5</v>
      </c>
      <c r="G28" s="3" t="s">
        <v>51</v>
      </c>
      <c r="H28" s="4"/>
      <c r="I28" s="3"/>
      <c r="J28" s="3"/>
      <c r="K28" s="3"/>
      <c r="L28" s="3"/>
      <c r="M28" s="3"/>
      <c r="N28" s="3"/>
      <c r="O28" s="3"/>
      <c r="P28" s="3"/>
      <c r="Q28" s="3"/>
      <c r="R28" s="3">
        <v>70440080322</v>
      </c>
      <c r="S28" s="3" t="s">
        <v>219</v>
      </c>
      <c r="T28" s="3" t="s">
        <v>215</v>
      </c>
      <c r="U28" s="5"/>
    </row>
    <row r="29" spans="1:21" ht="31.5" customHeight="1" x14ac:dyDescent="0.3">
      <c r="A29" s="688" t="s">
        <v>246</v>
      </c>
      <c r="B29" s="607" t="s">
        <v>247</v>
      </c>
      <c r="C29" s="694">
        <v>0</v>
      </c>
      <c r="D29" s="694">
        <v>0.31</v>
      </c>
      <c r="E29" s="645">
        <v>0.31</v>
      </c>
      <c r="F29" s="641">
        <v>1565</v>
      </c>
      <c r="G29" s="641" t="s">
        <v>51</v>
      </c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>
        <v>70440080219</v>
      </c>
      <c r="S29" s="641" t="s">
        <v>219</v>
      </c>
      <c r="T29" s="641" t="s">
        <v>215</v>
      </c>
      <c r="U29" s="642"/>
    </row>
    <row r="30" spans="1:21" ht="39" customHeight="1" x14ac:dyDescent="0.3">
      <c r="A30" s="690"/>
      <c r="B30" s="608"/>
      <c r="C30" s="695"/>
      <c r="D30" s="695"/>
      <c r="E30" s="654"/>
      <c r="F30" s="633"/>
      <c r="G30" s="633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 t="s">
        <v>248</v>
      </c>
      <c r="S30" s="633"/>
      <c r="T30" s="633"/>
      <c r="U30" s="636"/>
    </row>
    <row r="31" spans="1:21" ht="20.25" customHeight="1" x14ac:dyDescent="0.3">
      <c r="A31" s="690"/>
      <c r="B31" s="608"/>
      <c r="C31" s="695"/>
      <c r="D31" s="695"/>
      <c r="E31" s="654"/>
      <c r="F31" s="633"/>
      <c r="G31" s="633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 t="s">
        <v>249</v>
      </c>
      <c r="S31" s="633"/>
      <c r="T31" s="633"/>
      <c r="U31" s="636"/>
    </row>
    <row r="32" spans="1:21" s="73" customFormat="1" ht="20.399999999999999" customHeight="1" thickBot="1" x14ac:dyDescent="0.35">
      <c r="A32" s="689"/>
      <c r="B32" s="609"/>
      <c r="C32" s="696"/>
      <c r="D32" s="696"/>
      <c r="E32" s="646"/>
      <c r="F32" s="634"/>
      <c r="G32" s="634"/>
      <c r="H32" s="17"/>
      <c r="I32" s="20"/>
      <c r="J32" s="20"/>
      <c r="K32" s="20"/>
      <c r="L32" s="20"/>
      <c r="M32" s="20"/>
      <c r="N32" s="20"/>
      <c r="O32" s="20"/>
      <c r="P32" s="20"/>
      <c r="Q32" s="20"/>
      <c r="R32" s="20">
        <v>70440080326</v>
      </c>
      <c r="S32" s="634"/>
      <c r="T32" s="634"/>
      <c r="U32" s="637"/>
    </row>
    <row r="33" spans="1:21" ht="24.6" thickBot="1" x14ac:dyDescent="0.35">
      <c r="A33" s="69" t="s">
        <v>250</v>
      </c>
      <c r="B33" s="23" t="s">
        <v>251</v>
      </c>
      <c r="C33" s="41">
        <v>0</v>
      </c>
      <c r="D33" s="41">
        <v>0.2</v>
      </c>
      <c r="E33" s="41">
        <v>0.2</v>
      </c>
      <c r="F33" s="3">
        <v>860</v>
      </c>
      <c r="G33" s="3" t="s">
        <v>51</v>
      </c>
      <c r="H33" s="4"/>
      <c r="I33" s="3"/>
      <c r="J33" s="3"/>
      <c r="K33" s="3"/>
      <c r="L33" s="3"/>
      <c r="M33" s="3"/>
      <c r="N33" s="3"/>
      <c r="O33" s="3"/>
      <c r="P33" s="3"/>
      <c r="Q33" s="3"/>
      <c r="R33" s="3">
        <v>70440080316</v>
      </c>
      <c r="S33" s="3" t="s">
        <v>219</v>
      </c>
      <c r="T33" s="3" t="s">
        <v>252</v>
      </c>
      <c r="U33" s="5"/>
    </row>
    <row r="34" spans="1:21" ht="27" thickBot="1" x14ac:dyDescent="0.35">
      <c r="A34" s="69" t="s">
        <v>253</v>
      </c>
      <c r="B34" s="23" t="s">
        <v>254</v>
      </c>
      <c r="C34" s="41">
        <v>0</v>
      </c>
      <c r="D34" s="41">
        <v>0.15</v>
      </c>
      <c r="E34" s="41">
        <v>0.15</v>
      </c>
      <c r="F34" s="3">
        <v>465</v>
      </c>
      <c r="G34" s="3" t="s">
        <v>32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>
        <v>70440080343</v>
      </c>
      <c r="S34" s="3" t="s">
        <v>219</v>
      </c>
      <c r="T34" s="3" t="s">
        <v>252</v>
      </c>
      <c r="U34" s="5" t="s">
        <v>67</v>
      </c>
    </row>
    <row r="35" spans="1:21" ht="24.6" thickBot="1" x14ac:dyDescent="0.35">
      <c r="A35" s="69" t="s">
        <v>255</v>
      </c>
      <c r="B35" s="23" t="s">
        <v>256</v>
      </c>
      <c r="C35" s="41">
        <v>0</v>
      </c>
      <c r="D35" s="41">
        <v>0.21</v>
      </c>
      <c r="E35" s="41">
        <v>0.21</v>
      </c>
      <c r="F35" s="4">
        <v>745.5</v>
      </c>
      <c r="G35" s="3" t="s">
        <v>51</v>
      </c>
      <c r="H35" s="4"/>
      <c r="I35" s="3"/>
      <c r="J35" s="3"/>
      <c r="K35" s="3"/>
      <c r="L35" s="3"/>
      <c r="M35" s="3"/>
      <c r="N35" s="3"/>
      <c r="O35" s="3"/>
      <c r="P35" s="3"/>
      <c r="Q35" s="3"/>
      <c r="R35" s="3">
        <v>70440080317</v>
      </c>
      <c r="S35" s="3" t="s">
        <v>219</v>
      </c>
      <c r="T35" s="3" t="s">
        <v>252</v>
      </c>
      <c r="U35" s="5"/>
    </row>
    <row r="36" spans="1:21" x14ac:dyDescent="0.3">
      <c r="A36" s="688" t="s">
        <v>257</v>
      </c>
      <c r="B36" s="607" t="s">
        <v>48</v>
      </c>
      <c r="C36" s="43">
        <v>0</v>
      </c>
      <c r="D36" s="43">
        <v>0.18</v>
      </c>
      <c r="E36" s="645">
        <v>0.25</v>
      </c>
      <c r="F36" s="641">
        <v>854</v>
      </c>
      <c r="G36" s="33" t="s">
        <v>51</v>
      </c>
      <c r="H36" s="44"/>
      <c r="I36" s="33"/>
      <c r="J36" s="33"/>
      <c r="K36" s="33"/>
      <c r="L36" s="33"/>
      <c r="M36" s="33"/>
      <c r="N36" s="33"/>
      <c r="O36" s="33"/>
      <c r="P36" s="33"/>
      <c r="Q36" s="33"/>
      <c r="R36" s="33">
        <v>70440080318</v>
      </c>
      <c r="S36" s="641" t="s">
        <v>219</v>
      </c>
      <c r="T36" s="641" t="s">
        <v>252</v>
      </c>
      <c r="U36" s="642"/>
    </row>
    <row r="37" spans="1:21" ht="15" thickBot="1" x14ac:dyDescent="0.35">
      <c r="A37" s="689"/>
      <c r="B37" s="609"/>
      <c r="C37" s="46">
        <v>0.18</v>
      </c>
      <c r="D37" s="46">
        <v>0.25</v>
      </c>
      <c r="E37" s="646"/>
      <c r="F37" s="634"/>
      <c r="G37" s="20" t="s">
        <v>32</v>
      </c>
      <c r="H37" s="47"/>
      <c r="I37" s="47"/>
      <c r="J37" s="20"/>
      <c r="K37" s="20"/>
      <c r="L37" s="20"/>
      <c r="M37" s="20"/>
      <c r="N37" s="20"/>
      <c r="O37" s="20"/>
      <c r="P37" s="20"/>
      <c r="Q37" s="20"/>
      <c r="R37" s="20">
        <v>70440080318</v>
      </c>
      <c r="S37" s="634"/>
      <c r="T37" s="634"/>
      <c r="U37" s="637"/>
    </row>
    <row r="38" spans="1:21" ht="24.6" thickBot="1" x14ac:dyDescent="0.35">
      <c r="A38" s="69" t="s">
        <v>258</v>
      </c>
      <c r="B38" s="23" t="s">
        <v>259</v>
      </c>
      <c r="C38" s="41">
        <v>0</v>
      </c>
      <c r="D38" s="41">
        <v>0.23</v>
      </c>
      <c r="E38" s="41">
        <v>0.23</v>
      </c>
      <c r="F38" s="3">
        <v>826</v>
      </c>
      <c r="G38" s="3" t="s">
        <v>32</v>
      </c>
      <c r="H38" s="4"/>
      <c r="I38" s="3"/>
      <c r="J38" s="3"/>
      <c r="K38" s="3"/>
      <c r="L38" s="3"/>
      <c r="M38" s="3"/>
      <c r="N38" s="3"/>
      <c r="O38" s="3"/>
      <c r="P38" s="3"/>
      <c r="Q38" s="3"/>
      <c r="R38" s="3">
        <v>70440080344</v>
      </c>
      <c r="S38" s="3" t="s">
        <v>219</v>
      </c>
      <c r="T38" s="3" t="s">
        <v>252</v>
      </c>
      <c r="U38" s="5" t="s">
        <v>67</v>
      </c>
    </row>
    <row r="39" spans="1:21" ht="24.6" thickBot="1" x14ac:dyDescent="0.35">
      <c r="A39" s="69" t="s">
        <v>260</v>
      </c>
      <c r="B39" s="23" t="s">
        <v>261</v>
      </c>
      <c r="C39" s="41">
        <v>0</v>
      </c>
      <c r="D39" s="41">
        <v>0.17</v>
      </c>
      <c r="E39" s="41">
        <v>0.17</v>
      </c>
      <c r="F39" s="3">
        <v>716</v>
      </c>
      <c r="G39" s="3" t="s">
        <v>51</v>
      </c>
      <c r="H39" s="4"/>
      <c r="I39" s="3"/>
      <c r="J39" s="3"/>
      <c r="K39" s="3"/>
      <c r="L39" s="3"/>
      <c r="M39" s="3"/>
      <c r="N39" s="3"/>
      <c r="O39" s="3"/>
      <c r="P39" s="3"/>
      <c r="Q39" s="3"/>
      <c r="R39" s="3">
        <v>70440080341</v>
      </c>
      <c r="S39" s="3" t="s">
        <v>219</v>
      </c>
      <c r="T39" s="3" t="s">
        <v>252</v>
      </c>
      <c r="U39" s="5" t="s">
        <v>241</v>
      </c>
    </row>
    <row r="40" spans="1:21" ht="24.6" thickBot="1" x14ac:dyDescent="0.35">
      <c r="A40" s="69" t="s">
        <v>262</v>
      </c>
      <c r="B40" s="23" t="s">
        <v>263</v>
      </c>
      <c r="C40" s="41">
        <v>0</v>
      </c>
      <c r="D40" s="41">
        <v>0.28999999999999998</v>
      </c>
      <c r="E40" s="41">
        <v>0.28999999999999998</v>
      </c>
      <c r="F40" s="3">
        <v>1272</v>
      </c>
      <c r="G40" s="3" t="s">
        <v>51</v>
      </c>
      <c r="H40" s="4"/>
      <c r="I40" s="3"/>
      <c r="J40" s="3"/>
      <c r="K40" s="3"/>
      <c r="L40" s="3"/>
      <c r="M40" s="3"/>
      <c r="N40" s="3"/>
      <c r="O40" s="3"/>
      <c r="P40" s="3"/>
      <c r="Q40" s="3"/>
      <c r="R40" s="3">
        <v>70440080319</v>
      </c>
      <c r="S40" s="3" t="s">
        <v>219</v>
      </c>
      <c r="T40" s="3" t="s">
        <v>252</v>
      </c>
      <c r="U40" s="5"/>
    </row>
    <row r="41" spans="1:21" ht="24.6" thickBot="1" x14ac:dyDescent="0.35">
      <c r="A41" s="69" t="s">
        <v>264</v>
      </c>
      <c r="B41" s="23" t="s">
        <v>265</v>
      </c>
      <c r="C41" s="41">
        <v>0</v>
      </c>
      <c r="D41" s="41">
        <v>0.37</v>
      </c>
      <c r="E41" s="41">
        <v>0.37</v>
      </c>
      <c r="F41" s="3">
        <v>1302</v>
      </c>
      <c r="G41" s="3" t="s">
        <v>51</v>
      </c>
      <c r="H41" s="4"/>
      <c r="I41" s="3"/>
      <c r="J41" s="3"/>
      <c r="K41" s="3"/>
      <c r="L41" s="3"/>
      <c r="M41" s="3"/>
      <c r="N41" s="3"/>
      <c r="O41" s="3"/>
      <c r="P41" s="3"/>
      <c r="Q41" s="3"/>
      <c r="R41" s="3">
        <v>70440080320</v>
      </c>
      <c r="S41" s="3" t="s">
        <v>219</v>
      </c>
      <c r="T41" s="3" t="s">
        <v>252</v>
      </c>
      <c r="U41" s="5"/>
    </row>
    <row r="42" spans="1:21" x14ac:dyDescent="0.3">
      <c r="A42" s="688" t="s">
        <v>266</v>
      </c>
      <c r="B42" s="607" t="s">
        <v>267</v>
      </c>
      <c r="C42" s="43">
        <v>0</v>
      </c>
      <c r="D42" s="43">
        <v>0.17</v>
      </c>
      <c r="E42" s="645">
        <v>0.89</v>
      </c>
      <c r="F42" s="647">
        <v>4353.6000000000004</v>
      </c>
      <c r="G42" s="33" t="s">
        <v>51</v>
      </c>
      <c r="H42" s="44"/>
      <c r="I42" s="33"/>
      <c r="J42" s="33"/>
      <c r="K42" s="33"/>
      <c r="L42" s="33"/>
      <c r="M42" s="33"/>
      <c r="N42" s="33"/>
      <c r="O42" s="33"/>
      <c r="P42" s="33"/>
      <c r="Q42" s="33"/>
      <c r="R42" s="641">
        <v>70440080339</v>
      </c>
      <c r="S42" s="641" t="s">
        <v>219</v>
      </c>
      <c r="T42" s="641" t="s">
        <v>252</v>
      </c>
      <c r="U42" s="642"/>
    </row>
    <row r="43" spans="1:21" ht="15" thickBot="1" x14ac:dyDescent="0.35">
      <c r="A43" s="689"/>
      <c r="B43" s="609"/>
      <c r="C43" s="46">
        <v>0.17</v>
      </c>
      <c r="D43" s="46">
        <v>0.89</v>
      </c>
      <c r="E43" s="646"/>
      <c r="F43" s="648"/>
      <c r="G43" s="20" t="s">
        <v>32</v>
      </c>
      <c r="H43" s="47"/>
      <c r="I43" s="20"/>
      <c r="J43" s="20"/>
      <c r="K43" s="20"/>
      <c r="L43" s="20"/>
      <c r="M43" s="20"/>
      <c r="N43" s="20"/>
      <c r="O43" s="20"/>
      <c r="P43" s="20"/>
      <c r="Q43" s="20"/>
      <c r="R43" s="634"/>
      <c r="S43" s="634"/>
      <c r="T43" s="634"/>
      <c r="U43" s="637"/>
    </row>
    <row r="44" spans="1:21" s="72" customFormat="1" ht="24" customHeight="1" x14ac:dyDescent="0.2">
      <c r="A44" s="604" t="s">
        <v>268</v>
      </c>
      <c r="B44" s="607" t="s">
        <v>269</v>
      </c>
      <c r="C44" s="43">
        <v>0</v>
      </c>
      <c r="D44" s="43">
        <v>1.19</v>
      </c>
      <c r="E44" s="610">
        <v>1.88</v>
      </c>
      <c r="F44" s="641">
        <v>11400</v>
      </c>
      <c r="G44" s="33" t="s">
        <v>51</v>
      </c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>
        <v>70440080239</v>
      </c>
      <c r="S44" s="640"/>
      <c r="T44" s="641" t="s">
        <v>252</v>
      </c>
      <c r="U44" s="642"/>
    </row>
    <row r="45" spans="1:21" s="72" customFormat="1" ht="20.399999999999999" customHeight="1" thickBot="1" x14ac:dyDescent="0.25">
      <c r="A45" s="606"/>
      <c r="B45" s="609"/>
      <c r="C45" s="46">
        <v>1.19</v>
      </c>
      <c r="D45" s="16">
        <v>1.88</v>
      </c>
      <c r="E45" s="612"/>
      <c r="F45" s="634"/>
      <c r="G45" s="19" t="s">
        <v>32</v>
      </c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>
        <v>70440080239</v>
      </c>
      <c r="S45" s="631"/>
      <c r="T45" s="634"/>
      <c r="U45" s="637"/>
    </row>
    <row r="46" spans="1:21" s="72" customFormat="1" ht="24.6" thickBot="1" x14ac:dyDescent="0.25">
      <c r="A46" s="22" t="s">
        <v>270</v>
      </c>
      <c r="B46" s="23" t="s">
        <v>271</v>
      </c>
      <c r="C46" s="41">
        <v>0</v>
      </c>
      <c r="D46" s="24">
        <v>1.73</v>
      </c>
      <c r="E46" s="24">
        <v>1.73</v>
      </c>
      <c r="F46" s="27">
        <v>8850</v>
      </c>
      <c r="G46" s="27" t="s">
        <v>32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>
        <v>70440010104</v>
      </c>
      <c r="S46" s="27"/>
      <c r="T46" s="3" t="s">
        <v>252</v>
      </c>
      <c r="U46" s="5"/>
    </row>
    <row r="47" spans="1:21" s="72" customFormat="1" ht="24" customHeight="1" x14ac:dyDescent="0.2">
      <c r="A47" s="604" t="s">
        <v>272</v>
      </c>
      <c r="B47" s="607" t="s">
        <v>273</v>
      </c>
      <c r="C47" s="43">
        <v>0</v>
      </c>
      <c r="D47" s="30">
        <v>0.69</v>
      </c>
      <c r="E47" s="610">
        <v>5.09</v>
      </c>
      <c r="F47" s="640">
        <v>36750</v>
      </c>
      <c r="G47" s="640" t="s">
        <v>32</v>
      </c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>
        <v>70440040045</v>
      </c>
      <c r="S47" s="640"/>
      <c r="T47" s="641" t="s">
        <v>252</v>
      </c>
      <c r="U47" s="642"/>
    </row>
    <row r="48" spans="1:21" s="72" customFormat="1" ht="24" customHeight="1" x14ac:dyDescent="0.2">
      <c r="A48" s="605"/>
      <c r="B48" s="608"/>
      <c r="C48" s="48">
        <v>0.69</v>
      </c>
      <c r="D48" s="10">
        <v>2.86</v>
      </c>
      <c r="E48" s="611"/>
      <c r="F48" s="621"/>
      <c r="G48" s="621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>
        <v>70440070083</v>
      </c>
      <c r="S48" s="621"/>
      <c r="T48" s="633"/>
      <c r="U48" s="636"/>
    </row>
    <row r="49" spans="1:21" s="72" customFormat="1" ht="24" customHeight="1" thickBot="1" x14ac:dyDescent="0.25">
      <c r="A49" s="606"/>
      <c r="B49" s="609"/>
      <c r="C49" s="46">
        <v>2.86</v>
      </c>
      <c r="D49" s="16">
        <v>5.09</v>
      </c>
      <c r="E49" s="612"/>
      <c r="F49" s="631"/>
      <c r="G49" s="631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>
        <v>70440080238</v>
      </c>
      <c r="S49" s="631"/>
      <c r="T49" s="634"/>
      <c r="U49" s="637"/>
    </row>
    <row r="50" spans="1:21" s="72" customFormat="1" ht="24" customHeight="1" x14ac:dyDescent="0.2">
      <c r="A50" s="604" t="s">
        <v>274</v>
      </c>
      <c r="B50" s="607" t="s">
        <v>275</v>
      </c>
      <c r="C50" s="43">
        <v>0</v>
      </c>
      <c r="D50" s="30">
        <v>0.84</v>
      </c>
      <c r="E50" s="610">
        <v>1.59</v>
      </c>
      <c r="F50" s="640">
        <v>6264</v>
      </c>
      <c r="G50" s="34" t="s">
        <v>32</v>
      </c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>
        <v>70440010105</v>
      </c>
      <c r="S50" s="640"/>
      <c r="T50" s="641" t="s">
        <v>252</v>
      </c>
      <c r="U50" s="642"/>
    </row>
    <row r="51" spans="1:21" s="72" customFormat="1" ht="24" customHeight="1" x14ac:dyDescent="0.2">
      <c r="A51" s="605"/>
      <c r="B51" s="608"/>
      <c r="C51" s="48">
        <v>0.85</v>
      </c>
      <c r="D51" s="10">
        <v>1.4</v>
      </c>
      <c r="E51" s="611"/>
      <c r="F51" s="621"/>
      <c r="G51" s="13" t="s">
        <v>32</v>
      </c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 t="s">
        <v>276</v>
      </c>
      <c r="S51" s="621"/>
      <c r="T51" s="633"/>
      <c r="U51" s="636"/>
    </row>
    <row r="52" spans="1:21" s="72" customFormat="1" ht="12.6" thickBot="1" x14ac:dyDescent="0.25">
      <c r="A52" s="606"/>
      <c r="B52" s="609"/>
      <c r="C52" s="46">
        <v>1.41</v>
      </c>
      <c r="D52" s="16">
        <v>1.59</v>
      </c>
      <c r="E52" s="612"/>
      <c r="F52" s="631"/>
      <c r="G52" s="19" t="s">
        <v>32</v>
      </c>
      <c r="H52" s="20"/>
      <c r="I52" s="20"/>
      <c r="J52" s="20"/>
      <c r="K52" s="20"/>
      <c r="L52" s="20"/>
      <c r="M52" s="20"/>
      <c r="N52" s="20"/>
      <c r="O52" s="20"/>
      <c r="P52" s="19"/>
      <c r="Q52" s="19"/>
      <c r="R52" s="19" t="s">
        <v>277</v>
      </c>
      <c r="S52" s="631"/>
      <c r="T52" s="634"/>
      <c r="U52" s="637"/>
    </row>
    <row r="53" spans="1:21" s="72" customFormat="1" ht="24.6" thickBot="1" x14ac:dyDescent="0.25">
      <c r="A53" s="22" t="s">
        <v>278</v>
      </c>
      <c r="B53" s="23" t="s">
        <v>279</v>
      </c>
      <c r="C53" s="41">
        <v>0</v>
      </c>
      <c r="D53" s="24">
        <v>0.62</v>
      </c>
      <c r="E53" s="24">
        <v>0.62</v>
      </c>
      <c r="F53" s="27">
        <v>2440</v>
      </c>
      <c r="G53" s="27" t="s">
        <v>32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>
        <v>70440020142</v>
      </c>
      <c r="S53" s="27"/>
      <c r="T53" s="3" t="s">
        <v>252</v>
      </c>
      <c r="U53" s="5"/>
    </row>
    <row r="54" spans="1:21" s="72" customFormat="1" ht="24.6" thickBot="1" x14ac:dyDescent="0.25">
      <c r="A54" s="22" t="s">
        <v>280</v>
      </c>
      <c r="B54" s="23" t="s">
        <v>281</v>
      </c>
      <c r="C54" s="41">
        <v>1.48</v>
      </c>
      <c r="D54" s="24">
        <v>1.47</v>
      </c>
      <c r="E54" s="24">
        <v>1.47</v>
      </c>
      <c r="F54" s="27">
        <v>7400</v>
      </c>
      <c r="G54" s="27" t="s">
        <v>32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>
        <v>70440020143</v>
      </c>
      <c r="S54" s="27"/>
      <c r="T54" s="3" t="s">
        <v>252</v>
      </c>
      <c r="U54" s="5"/>
    </row>
    <row r="55" spans="1:21" s="72" customFormat="1" ht="24.6" thickBot="1" x14ac:dyDescent="0.25">
      <c r="A55" s="22" t="s">
        <v>282</v>
      </c>
      <c r="B55" s="23" t="s">
        <v>283</v>
      </c>
      <c r="C55" s="41">
        <v>0</v>
      </c>
      <c r="D55" s="24">
        <v>0.48</v>
      </c>
      <c r="E55" s="24">
        <v>0.48</v>
      </c>
      <c r="F55" s="27">
        <v>2040</v>
      </c>
      <c r="G55" s="27" t="s">
        <v>32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>
        <v>70440120107</v>
      </c>
      <c r="S55" s="27"/>
      <c r="T55" s="3" t="s">
        <v>252</v>
      </c>
      <c r="U55" s="5"/>
    </row>
    <row r="56" spans="1:21" s="72" customFormat="1" ht="24.6" thickBot="1" x14ac:dyDescent="0.25">
      <c r="A56" s="22" t="s">
        <v>284</v>
      </c>
      <c r="B56" s="23" t="s">
        <v>285</v>
      </c>
      <c r="C56" s="41">
        <v>0</v>
      </c>
      <c r="D56" s="24">
        <v>2.46</v>
      </c>
      <c r="E56" s="24">
        <v>2.46</v>
      </c>
      <c r="F56" s="27">
        <v>12350</v>
      </c>
      <c r="G56" s="27" t="s">
        <v>32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>
        <v>70440050095</v>
      </c>
      <c r="S56" s="27"/>
      <c r="T56" s="3" t="s">
        <v>252</v>
      </c>
      <c r="U56" s="5" t="s">
        <v>67</v>
      </c>
    </row>
    <row r="57" spans="1:21" s="72" customFormat="1" ht="24.6" thickBot="1" x14ac:dyDescent="0.25">
      <c r="A57" s="22" t="s">
        <v>286</v>
      </c>
      <c r="B57" s="23" t="s">
        <v>287</v>
      </c>
      <c r="C57" s="41">
        <v>0</v>
      </c>
      <c r="D57" s="24">
        <v>2.11</v>
      </c>
      <c r="E57" s="24">
        <v>2.11</v>
      </c>
      <c r="F57" s="27">
        <v>10600</v>
      </c>
      <c r="G57" s="27" t="s">
        <v>32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>
        <v>70440050115</v>
      </c>
      <c r="S57" s="27"/>
      <c r="T57" s="3" t="s">
        <v>252</v>
      </c>
      <c r="U57" s="5" t="s">
        <v>67</v>
      </c>
    </row>
    <row r="58" spans="1:21" s="72" customFormat="1" ht="24.6" thickBot="1" x14ac:dyDescent="0.25">
      <c r="A58" s="22" t="s">
        <v>288</v>
      </c>
      <c r="B58" s="23" t="s">
        <v>289</v>
      </c>
      <c r="C58" s="41">
        <v>0</v>
      </c>
      <c r="D58" s="24">
        <v>0.19</v>
      </c>
      <c r="E58" s="24">
        <v>0.19</v>
      </c>
      <c r="F58" s="27">
        <v>760</v>
      </c>
      <c r="G58" s="27" t="s">
        <v>32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>
        <v>70440010120</v>
      </c>
      <c r="S58" s="27"/>
      <c r="T58" s="3" t="s">
        <v>252</v>
      </c>
      <c r="U58" s="5"/>
    </row>
    <row r="59" spans="1:21" s="72" customFormat="1" ht="14.25" customHeight="1" x14ac:dyDescent="0.2">
      <c r="A59" s="604" t="s">
        <v>290</v>
      </c>
      <c r="B59" s="607" t="s">
        <v>291</v>
      </c>
      <c r="C59" s="43">
        <v>0</v>
      </c>
      <c r="D59" s="30">
        <v>2.08</v>
      </c>
      <c r="E59" s="610">
        <v>4.7699999999999996</v>
      </c>
      <c r="F59" s="640">
        <v>23750</v>
      </c>
      <c r="G59" s="34" t="s">
        <v>32</v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>
        <v>70440010102</v>
      </c>
      <c r="S59" s="640"/>
      <c r="T59" s="641" t="s">
        <v>252</v>
      </c>
      <c r="U59" s="642"/>
    </row>
    <row r="60" spans="1:21" s="72" customFormat="1" ht="15" customHeight="1" thickBot="1" x14ac:dyDescent="0.25">
      <c r="A60" s="606"/>
      <c r="B60" s="609"/>
      <c r="C60" s="46">
        <v>2.09</v>
      </c>
      <c r="D60" s="16">
        <v>4.7699999999999996</v>
      </c>
      <c r="E60" s="612"/>
      <c r="F60" s="631"/>
      <c r="G60" s="19" t="s">
        <v>32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>
        <v>70440060053</v>
      </c>
      <c r="S60" s="631"/>
      <c r="T60" s="634"/>
      <c r="U60" s="637"/>
    </row>
    <row r="61" spans="1:21" s="72" customFormat="1" ht="45" customHeight="1" x14ac:dyDescent="0.2">
      <c r="A61" s="604" t="s">
        <v>292</v>
      </c>
      <c r="B61" s="607" t="s">
        <v>293</v>
      </c>
      <c r="C61" s="43">
        <v>0</v>
      </c>
      <c r="D61" s="30">
        <v>1.1000000000000001</v>
      </c>
      <c r="E61" s="610">
        <v>4.0599999999999996</v>
      </c>
      <c r="F61" s="640">
        <v>20300</v>
      </c>
      <c r="G61" s="34" t="s">
        <v>32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>
        <v>70440020141</v>
      </c>
      <c r="S61" s="640"/>
      <c r="T61" s="641" t="s">
        <v>252</v>
      </c>
      <c r="U61" s="642"/>
    </row>
    <row r="62" spans="1:21" s="72" customFormat="1" ht="15" customHeight="1" thickBot="1" x14ac:dyDescent="0.25">
      <c r="A62" s="606"/>
      <c r="B62" s="609"/>
      <c r="C62" s="46">
        <v>1.1100000000000001</v>
      </c>
      <c r="D62" s="16">
        <v>4.0599999999999996</v>
      </c>
      <c r="E62" s="612"/>
      <c r="F62" s="631"/>
      <c r="G62" s="19" t="s">
        <v>32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>
        <v>70440060051</v>
      </c>
      <c r="S62" s="631"/>
      <c r="T62" s="634"/>
      <c r="U62" s="637"/>
    </row>
    <row r="63" spans="1:21" s="72" customFormat="1" ht="30.75" customHeight="1" x14ac:dyDescent="0.2">
      <c r="A63" s="604" t="s">
        <v>294</v>
      </c>
      <c r="B63" s="607" t="s">
        <v>295</v>
      </c>
      <c r="C63" s="43">
        <v>0</v>
      </c>
      <c r="D63" s="30">
        <v>1.56</v>
      </c>
      <c r="E63" s="610">
        <v>2.23</v>
      </c>
      <c r="F63" s="640">
        <v>11100</v>
      </c>
      <c r="G63" s="33" t="s">
        <v>51</v>
      </c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>
        <v>70440020144</v>
      </c>
      <c r="S63" s="640"/>
      <c r="T63" s="641" t="s">
        <v>252</v>
      </c>
      <c r="U63" s="697"/>
    </row>
    <row r="64" spans="1:21" s="72" customFormat="1" ht="30.75" customHeight="1" thickBot="1" x14ac:dyDescent="0.25">
      <c r="A64" s="606"/>
      <c r="B64" s="609"/>
      <c r="C64" s="46">
        <v>1.56</v>
      </c>
      <c r="D64" s="16">
        <v>2.23</v>
      </c>
      <c r="E64" s="612"/>
      <c r="F64" s="631"/>
      <c r="G64" s="19" t="s">
        <v>32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>
        <v>70440030048</v>
      </c>
      <c r="S64" s="631"/>
      <c r="T64" s="634"/>
      <c r="U64" s="698"/>
    </row>
    <row r="65" spans="1:21" s="72" customFormat="1" ht="24.6" thickBot="1" x14ac:dyDescent="0.25">
      <c r="A65" s="28" t="s">
        <v>296</v>
      </c>
      <c r="B65" s="29" t="s">
        <v>297</v>
      </c>
      <c r="C65" s="43">
        <v>0</v>
      </c>
      <c r="D65" s="30">
        <v>7.83</v>
      </c>
      <c r="E65" s="30">
        <v>7.83</v>
      </c>
      <c r="F65" s="34">
        <v>31301</v>
      </c>
      <c r="G65" s="19" t="s">
        <v>32</v>
      </c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>
        <v>70440070086</v>
      </c>
      <c r="S65" s="34"/>
      <c r="T65" s="33" t="s">
        <v>252</v>
      </c>
      <c r="U65" s="71"/>
    </row>
    <row r="66" spans="1:21" s="72" customFormat="1" ht="24.6" thickBot="1" x14ac:dyDescent="0.25">
      <c r="A66" s="22" t="s">
        <v>298</v>
      </c>
      <c r="B66" s="23" t="s">
        <v>299</v>
      </c>
      <c r="C66" s="41">
        <v>0</v>
      </c>
      <c r="D66" s="24">
        <v>0.27</v>
      </c>
      <c r="E66" s="24">
        <v>0.27</v>
      </c>
      <c r="F66" s="27">
        <v>1400</v>
      </c>
      <c r="G66" s="27" t="s">
        <v>32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>
        <v>70440040046</v>
      </c>
      <c r="S66" s="27"/>
      <c r="T66" s="3" t="s">
        <v>252</v>
      </c>
      <c r="U66" s="5"/>
    </row>
    <row r="67" spans="1:21" s="72" customFormat="1" ht="20.399999999999999" customHeight="1" x14ac:dyDescent="0.2">
      <c r="A67" s="604" t="s">
        <v>300</v>
      </c>
      <c r="B67" s="607" t="s">
        <v>301</v>
      </c>
      <c r="C67" s="43">
        <v>0</v>
      </c>
      <c r="D67" s="30">
        <v>7.0000000000000007E-2</v>
      </c>
      <c r="E67" s="610">
        <v>0.1</v>
      </c>
      <c r="F67" s="640">
        <v>480</v>
      </c>
      <c r="G67" s="640" t="s">
        <v>32</v>
      </c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>
        <v>70440080330</v>
      </c>
      <c r="S67" s="640"/>
      <c r="T67" s="641" t="s">
        <v>252</v>
      </c>
      <c r="U67" s="642"/>
    </row>
    <row r="68" spans="1:21" s="72" customFormat="1" ht="32.4" customHeight="1" thickBot="1" x14ac:dyDescent="0.25">
      <c r="A68" s="606"/>
      <c r="B68" s="609"/>
      <c r="C68" s="46">
        <v>7.0000000000000007E-2</v>
      </c>
      <c r="D68" s="16">
        <v>0.1</v>
      </c>
      <c r="E68" s="612"/>
      <c r="F68" s="631"/>
      <c r="G68" s="631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20" t="s">
        <v>302</v>
      </c>
      <c r="S68" s="631"/>
      <c r="T68" s="634"/>
      <c r="U68" s="637"/>
    </row>
    <row r="69" spans="1:21" s="72" customFormat="1" ht="23.25" customHeight="1" x14ac:dyDescent="0.2">
      <c r="A69" s="604" t="s">
        <v>303</v>
      </c>
      <c r="B69" s="607" t="s">
        <v>304</v>
      </c>
      <c r="C69" s="43">
        <v>0</v>
      </c>
      <c r="D69" s="30">
        <v>1.17</v>
      </c>
      <c r="E69" s="610">
        <v>1.84</v>
      </c>
      <c r="F69" s="640">
        <v>9300</v>
      </c>
      <c r="G69" s="34" t="s">
        <v>32</v>
      </c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>
        <v>70440080241</v>
      </c>
      <c r="S69" s="640"/>
      <c r="T69" s="641" t="s">
        <v>252</v>
      </c>
      <c r="U69" s="642" t="s">
        <v>67</v>
      </c>
    </row>
    <row r="70" spans="1:21" s="72" customFormat="1" ht="23.25" customHeight="1" thickBot="1" x14ac:dyDescent="0.25">
      <c r="A70" s="606"/>
      <c r="B70" s="609"/>
      <c r="C70" s="46">
        <v>1.18</v>
      </c>
      <c r="D70" s="16">
        <v>1.84</v>
      </c>
      <c r="E70" s="612"/>
      <c r="F70" s="631"/>
      <c r="G70" s="19" t="s">
        <v>32</v>
      </c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>
        <v>70440090061</v>
      </c>
      <c r="S70" s="631"/>
      <c r="T70" s="634"/>
      <c r="U70" s="637"/>
    </row>
    <row r="71" spans="1:21" s="72" customFormat="1" ht="27.75" customHeight="1" x14ac:dyDescent="0.2">
      <c r="A71" s="604" t="s">
        <v>305</v>
      </c>
      <c r="B71" s="607" t="s">
        <v>306</v>
      </c>
      <c r="C71" s="43">
        <v>0</v>
      </c>
      <c r="D71" s="30">
        <v>1.06</v>
      </c>
      <c r="E71" s="610">
        <v>1.62</v>
      </c>
      <c r="F71" s="640">
        <v>8300</v>
      </c>
      <c r="G71" s="34" t="s">
        <v>32</v>
      </c>
      <c r="H71" s="34"/>
      <c r="I71" s="33"/>
      <c r="J71" s="34"/>
      <c r="K71" s="34"/>
      <c r="L71" s="34"/>
      <c r="M71" s="34"/>
      <c r="N71" s="34"/>
      <c r="O71" s="34"/>
      <c r="P71" s="34"/>
      <c r="Q71" s="34"/>
      <c r="R71" s="34">
        <v>70440120091</v>
      </c>
      <c r="S71" s="640"/>
      <c r="T71" s="641" t="s">
        <v>252</v>
      </c>
      <c r="U71" s="642"/>
    </row>
    <row r="72" spans="1:21" s="72" customFormat="1" ht="27.75" customHeight="1" x14ac:dyDescent="0.2">
      <c r="A72" s="605"/>
      <c r="B72" s="608"/>
      <c r="C72" s="48">
        <v>1.06</v>
      </c>
      <c r="D72" s="10">
        <v>1.33</v>
      </c>
      <c r="E72" s="611"/>
      <c r="F72" s="621"/>
      <c r="G72" s="13" t="s">
        <v>32</v>
      </c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 t="s">
        <v>307</v>
      </c>
      <c r="S72" s="621"/>
      <c r="T72" s="633"/>
      <c r="U72" s="636"/>
    </row>
    <row r="73" spans="1:21" s="72" customFormat="1" ht="27.75" customHeight="1" thickBot="1" x14ac:dyDescent="0.25">
      <c r="A73" s="606"/>
      <c r="B73" s="609"/>
      <c r="C73" s="46">
        <v>1.33</v>
      </c>
      <c r="D73" s="16">
        <v>1.62</v>
      </c>
      <c r="E73" s="612"/>
      <c r="F73" s="631"/>
      <c r="G73" s="19" t="s">
        <v>32</v>
      </c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 t="s">
        <v>308</v>
      </c>
      <c r="S73" s="631"/>
      <c r="T73" s="634"/>
      <c r="U73" s="637"/>
    </row>
    <row r="74" spans="1:21" s="72" customFormat="1" ht="36.6" thickBot="1" x14ac:dyDescent="0.25">
      <c r="A74" s="22" t="s">
        <v>309</v>
      </c>
      <c r="B74" s="23" t="s">
        <v>310</v>
      </c>
      <c r="C74" s="41">
        <v>0</v>
      </c>
      <c r="D74" s="24">
        <v>0.53</v>
      </c>
      <c r="E74" s="24">
        <v>0.53</v>
      </c>
      <c r="F74" s="27">
        <v>2160</v>
      </c>
      <c r="G74" s="27" t="s">
        <v>32</v>
      </c>
      <c r="H74" s="3" t="s">
        <v>311</v>
      </c>
      <c r="I74" s="27">
        <v>0.54</v>
      </c>
      <c r="J74" s="3" t="s">
        <v>312</v>
      </c>
      <c r="K74" s="27">
        <v>10</v>
      </c>
      <c r="L74" s="27">
        <v>75</v>
      </c>
      <c r="M74" s="27"/>
      <c r="N74" s="27"/>
      <c r="O74" s="27" t="s">
        <v>313</v>
      </c>
      <c r="P74" s="27"/>
      <c r="Q74" s="27"/>
      <c r="R74" s="27">
        <v>70440010103</v>
      </c>
      <c r="S74" s="27"/>
      <c r="T74" s="3" t="s">
        <v>252</v>
      </c>
      <c r="U74" s="5"/>
    </row>
    <row r="75" spans="1:21" s="72" customFormat="1" ht="24.6" thickBot="1" x14ac:dyDescent="0.25">
      <c r="A75" s="22" t="s">
        <v>314</v>
      </c>
      <c r="B75" s="23" t="s">
        <v>315</v>
      </c>
      <c r="C75" s="41">
        <v>0</v>
      </c>
      <c r="D75" s="24">
        <v>0.97</v>
      </c>
      <c r="E75" s="24">
        <v>0.97</v>
      </c>
      <c r="F75" s="27">
        <v>5820</v>
      </c>
      <c r="G75" s="27" t="s">
        <v>32</v>
      </c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>
        <v>70440060054</v>
      </c>
      <c r="S75" s="27"/>
      <c r="T75" s="3" t="s">
        <v>252</v>
      </c>
      <c r="U75" s="5"/>
    </row>
    <row r="76" spans="1:21" s="72" customFormat="1" ht="24.6" thickBot="1" x14ac:dyDescent="0.25">
      <c r="A76" s="22" t="s">
        <v>316</v>
      </c>
      <c r="B76" s="23" t="s">
        <v>317</v>
      </c>
      <c r="C76" s="41">
        <v>0</v>
      </c>
      <c r="D76" s="24">
        <v>0.93</v>
      </c>
      <c r="E76" s="24">
        <v>0.93</v>
      </c>
      <c r="F76" s="27">
        <v>3760</v>
      </c>
      <c r="G76" s="27" t="s">
        <v>32</v>
      </c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>
        <v>70440060052</v>
      </c>
      <c r="S76" s="27"/>
      <c r="T76" s="3" t="s">
        <v>252</v>
      </c>
      <c r="U76" s="5" t="s">
        <v>67</v>
      </c>
    </row>
    <row r="77" spans="1:21" s="72" customFormat="1" ht="24.6" thickBot="1" x14ac:dyDescent="0.25">
      <c r="A77" s="22" t="s">
        <v>318</v>
      </c>
      <c r="B77" s="23" t="s">
        <v>319</v>
      </c>
      <c r="C77" s="41">
        <v>0</v>
      </c>
      <c r="D77" s="24">
        <v>0.24</v>
      </c>
      <c r="E77" s="24">
        <v>0.24</v>
      </c>
      <c r="F77" s="27">
        <v>1000</v>
      </c>
      <c r="G77" s="27" t="s">
        <v>32</v>
      </c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>
        <v>70440070087</v>
      </c>
      <c r="S77" s="27"/>
      <c r="T77" s="3" t="s">
        <v>252</v>
      </c>
      <c r="U77" s="5"/>
    </row>
    <row r="78" spans="1:21" s="72" customFormat="1" ht="24.6" thickBot="1" x14ac:dyDescent="0.25">
      <c r="A78" s="22" t="s">
        <v>320</v>
      </c>
      <c r="B78" s="23" t="s">
        <v>321</v>
      </c>
      <c r="C78" s="41">
        <v>0</v>
      </c>
      <c r="D78" s="24">
        <v>0.19</v>
      </c>
      <c r="E78" s="24">
        <v>0.19</v>
      </c>
      <c r="F78" s="27">
        <v>800</v>
      </c>
      <c r="G78" s="27" t="s">
        <v>32</v>
      </c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>
        <v>70440080245</v>
      </c>
      <c r="S78" s="27"/>
      <c r="T78" s="3" t="s">
        <v>252</v>
      </c>
      <c r="U78" s="5"/>
    </row>
    <row r="79" spans="1:21" s="72" customFormat="1" ht="24.6" thickBot="1" x14ac:dyDescent="0.25">
      <c r="A79" s="22" t="s">
        <v>322</v>
      </c>
      <c r="B79" s="23" t="s">
        <v>323</v>
      </c>
      <c r="C79" s="41">
        <v>0</v>
      </c>
      <c r="D79" s="24">
        <v>2.12</v>
      </c>
      <c r="E79" s="24">
        <v>2.12</v>
      </c>
      <c r="F79" s="27">
        <v>10650</v>
      </c>
      <c r="G79" s="27" t="s">
        <v>32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>
        <v>70440050096</v>
      </c>
      <c r="S79" s="27"/>
      <c r="T79" s="3" t="s">
        <v>252</v>
      </c>
      <c r="U79" s="5"/>
    </row>
    <row r="80" spans="1:21" s="72" customFormat="1" ht="24.6" thickBot="1" x14ac:dyDescent="0.25">
      <c r="A80" s="22" t="s">
        <v>324</v>
      </c>
      <c r="B80" s="23" t="s">
        <v>325</v>
      </c>
      <c r="C80" s="41">
        <v>0</v>
      </c>
      <c r="D80" s="24">
        <v>1.04</v>
      </c>
      <c r="E80" s="24">
        <v>1.04</v>
      </c>
      <c r="F80" s="27">
        <v>5200</v>
      </c>
      <c r="G80" s="27" t="s">
        <v>32</v>
      </c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>
        <v>70440090064</v>
      </c>
      <c r="S80" s="27"/>
      <c r="T80" s="3" t="s">
        <v>252</v>
      </c>
      <c r="U80" s="5"/>
    </row>
    <row r="81" spans="1:32" s="72" customFormat="1" ht="36.6" thickBot="1" x14ac:dyDescent="0.25">
      <c r="A81" s="22" t="s">
        <v>326</v>
      </c>
      <c r="B81" s="23" t="s">
        <v>327</v>
      </c>
      <c r="C81" s="41">
        <v>0</v>
      </c>
      <c r="D81" s="24">
        <v>1.07</v>
      </c>
      <c r="E81" s="24">
        <v>1.07</v>
      </c>
      <c r="F81" s="27">
        <v>4440</v>
      </c>
      <c r="G81" s="27" t="s">
        <v>32</v>
      </c>
      <c r="H81" s="3" t="s">
        <v>328</v>
      </c>
      <c r="I81" s="3">
        <v>7.0000000000000007E-2</v>
      </c>
      <c r="J81" s="3" t="s">
        <v>329</v>
      </c>
      <c r="K81" s="3">
        <v>26</v>
      </c>
      <c r="L81" s="3">
        <v>195</v>
      </c>
      <c r="M81" s="3"/>
      <c r="N81" s="3"/>
      <c r="O81" s="3" t="s">
        <v>330</v>
      </c>
      <c r="P81" s="27"/>
      <c r="Q81" s="27"/>
      <c r="R81" s="27">
        <v>70440100014</v>
      </c>
      <c r="S81" s="27"/>
      <c r="T81" s="3" t="s">
        <v>252</v>
      </c>
      <c r="U81" s="5" t="s">
        <v>67</v>
      </c>
    </row>
    <row r="82" spans="1:32" s="72" customFormat="1" ht="12" x14ac:dyDescent="0.2">
      <c r="A82" s="604" t="s">
        <v>331</v>
      </c>
      <c r="B82" s="607" t="s">
        <v>332</v>
      </c>
      <c r="C82" s="43">
        <v>0</v>
      </c>
      <c r="D82" s="30">
        <v>0.12</v>
      </c>
      <c r="E82" s="610">
        <v>0.18</v>
      </c>
      <c r="F82" s="640">
        <v>600</v>
      </c>
      <c r="G82" s="640" t="s">
        <v>32</v>
      </c>
      <c r="H82" s="34"/>
      <c r="I82" s="33"/>
      <c r="J82" s="34"/>
      <c r="K82" s="34"/>
      <c r="L82" s="34"/>
      <c r="M82" s="34"/>
      <c r="N82" s="34"/>
      <c r="O82" s="34"/>
      <c r="P82" s="34"/>
      <c r="Q82" s="34"/>
      <c r="R82" s="34">
        <v>70440120108</v>
      </c>
      <c r="S82" s="640"/>
      <c r="T82" s="641" t="s">
        <v>252</v>
      </c>
      <c r="U82" s="642" t="s">
        <v>67</v>
      </c>
    </row>
    <row r="83" spans="1:32" s="72" customFormat="1" ht="12" x14ac:dyDescent="0.2">
      <c r="A83" s="605"/>
      <c r="B83" s="608"/>
      <c r="C83" s="654">
        <v>0.12</v>
      </c>
      <c r="D83" s="611">
        <v>0.18</v>
      </c>
      <c r="E83" s="611"/>
      <c r="F83" s="621"/>
      <c r="G83" s="621"/>
      <c r="H83" s="13"/>
      <c r="I83" s="14"/>
      <c r="J83" s="13"/>
      <c r="K83" s="13"/>
      <c r="L83" s="13"/>
      <c r="M83" s="13"/>
      <c r="N83" s="13"/>
      <c r="O83" s="13"/>
      <c r="P83" s="13"/>
      <c r="Q83" s="13"/>
      <c r="R83" s="13" t="s">
        <v>333</v>
      </c>
      <c r="S83" s="621"/>
      <c r="T83" s="633"/>
      <c r="U83" s="636"/>
    </row>
    <row r="84" spans="1:32" s="72" customFormat="1" ht="12.6" thickBot="1" x14ac:dyDescent="0.25">
      <c r="A84" s="606"/>
      <c r="B84" s="609"/>
      <c r="C84" s="646"/>
      <c r="D84" s="612"/>
      <c r="E84" s="612"/>
      <c r="F84" s="631"/>
      <c r="G84" s="631"/>
      <c r="H84" s="19"/>
      <c r="I84" s="20"/>
      <c r="J84" s="19"/>
      <c r="K84" s="19"/>
      <c r="L84" s="19"/>
      <c r="M84" s="19"/>
      <c r="N84" s="19"/>
      <c r="O84" s="19"/>
      <c r="P84" s="19"/>
      <c r="Q84" s="19"/>
      <c r="R84" s="19" t="s">
        <v>334</v>
      </c>
      <c r="S84" s="631"/>
      <c r="T84" s="634"/>
      <c r="U84" s="637"/>
    </row>
    <row r="85" spans="1:32" s="72" customFormat="1" ht="24.6" thickBot="1" x14ac:dyDescent="0.25">
      <c r="A85" s="22" t="s">
        <v>335</v>
      </c>
      <c r="B85" s="23" t="s">
        <v>336</v>
      </c>
      <c r="C85" s="41">
        <v>0</v>
      </c>
      <c r="D85" s="24">
        <v>1.06</v>
      </c>
      <c r="E85" s="24">
        <v>1.06</v>
      </c>
      <c r="F85" s="27">
        <v>5350</v>
      </c>
      <c r="G85" s="27" t="s">
        <v>32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>
        <v>70440070084</v>
      </c>
      <c r="S85" s="27"/>
      <c r="T85" s="3" t="s">
        <v>252</v>
      </c>
      <c r="U85" s="5"/>
    </row>
    <row r="86" spans="1:32" s="72" customFormat="1" ht="24.6" thickBot="1" x14ac:dyDescent="0.25">
      <c r="A86" s="22" t="s">
        <v>337</v>
      </c>
      <c r="B86" s="23" t="s">
        <v>338</v>
      </c>
      <c r="C86" s="41">
        <v>0</v>
      </c>
      <c r="D86" s="24">
        <v>0.79</v>
      </c>
      <c r="E86" s="24">
        <v>0.79</v>
      </c>
      <c r="F86" s="27">
        <v>5600</v>
      </c>
      <c r="G86" s="27" t="s">
        <v>32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>
        <v>70440070085</v>
      </c>
      <c r="S86" s="27"/>
      <c r="T86" s="3" t="s">
        <v>252</v>
      </c>
      <c r="U86" s="5"/>
    </row>
    <row r="87" spans="1:32" ht="24.6" thickBot="1" x14ac:dyDescent="0.35">
      <c r="A87" s="22" t="s">
        <v>339</v>
      </c>
      <c r="B87" s="23" t="s">
        <v>340</v>
      </c>
      <c r="C87" s="41">
        <v>0</v>
      </c>
      <c r="D87" s="41">
        <v>0.7</v>
      </c>
      <c r="E87" s="41">
        <v>0.7</v>
      </c>
      <c r="F87" s="3">
        <v>3855</v>
      </c>
      <c r="G87" s="3" t="s">
        <v>32</v>
      </c>
      <c r="H87" s="4"/>
      <c r="I87" s="3"/>
      <c r="J87" s="3"/>
      <c r="K87" s="3"/>
      <c r="L87" s="3"/>
      <c r="M87" s="3"/>
      <c r="N87" s="3"/>
      <c r="O87" s="3"/>
      <c r="P87" s="3"/>
      <c r="Q87" s="3"/>
      <c r="R87" s="3">
        <v>70440080244</v>
      </c>
      <c r="S87" s="27"/>
      <c r="T87" s="3" t="s">
        <v>252</v>
      </c>
      <c r="U87" s="5"/>
    </row>
    <row r="89" spans="1:32" ht="24.6" x14ac:dyDescent="0.3">
      <c r="B89" s="61" t="s">
        <v>202</v>
      </c>
    </row>
    <row r="90" spans="1:32" ht="24.6" x14ac:dyDescent="0.3">
      <c r="B90" s="61" t="s">
        <v>203</v>
      </c>
      <c r="C90" s="1"/>
      <c r="D90" s="1"/>
      <c r="E90" s="1"/>
      <c r="F90" s="1"/>
      <c r="G90" s="1"/>
    </row>
    <row r="91" spans="1:32" ht="24.6" x14ac:dyDescent="0.3">
      <c r="B91" s="61" t="s">
        <v>204</v>
      </c>
      <c r="C91" s="1"/>
      <c r="D91" s="1"/>
      <c r="E91" s="1"/>
      <c r="F91" s="1"/>
      <c r="G91" s="1"/>
    </row>
    <row r="92" spans="1:32" ht="24.6" x14ac:dyDescent="0.3">
      <c r="B92" s="61" t="s">
        <v>205</v>
      </c>
      <c r="C92" s="1"/>
      <c r="D92" s="1"/>
      <c r="E92" s="1"/>
      <c r="F92" s="1"/>
      <c r="G92" s="1"/>
    </row>
    <row r="93" spans="1:32" x14ac:dyDescent="0.3">
      <c r="C93" s="1"/>
      <c r="D93" s="1"/>
      <c r="E93" s="1"/>
      <c r="F93" s="1"/>
      <c r="G93" s="1"/>
    </row>
    <row r="94" spans="1:32" s="59" customFormat="1" ht="27.6" customHeight="1" x14ac:dyDescent="0.25">
      <c r="A94" s="509"/>
      <c r="B94" s="509"/>
      <c r="C94" s="512" t="s">
        <v>3985</v>
      </c>
      <c r="D94" s="543" t="s">
        <v>3986</v>
      </c>
      <c r="E94" s="543"/>
      <c r="F94" s="543"/>
      <c r="G94" s="509"/>
      <c r="H94" s="509"/>
      <c r="I94" s="509"/>
      <c r="J94" s="509"/>
      <c r="K94" s="509"/>
      <c r="L94" s="509"/>
      <c r="M94" s="509"/>
      <c r="N94" s="509"/>
      <c r="O94" s="509"/>
      <c r="P94" s="509"/>
      <c r="Q94" s="509"/>
      <c r="R94" s="509"/>
      <c r="S94" s="509"/>
      <c r="T94" s="509"/>
      <c r="U94" s="509"/>
      <c r="V94" s="509"/>
      <c r="W94" s="509"/>
      <c r="X94" s="509"/>
      <c r="Y94" s="509"/>
      <c r="Z94" s="509"/>
      <c r="AA94" s="509"/>
      <c r="AB94" s="509"/>
      <c r="AC94" s="509"/>
      <c r="AD94" s="509"/>
      <c r="AE94" s="510"/>
      <c r="AF94" s="510"/>
    </row>
    <row r="95" spans="1:32" s="59" customFormat="1" ht="13.8" x14ac:dyDescent="0.25">
      <c r="A95" s="509"/>
      <c r="B95" s="509"/>
      <c r="C95" s="509"/>
      <c r="D95" s="509"/>
      <c r="E95" s="509"/>
      <c r="F95" s="509"/>
      <c r="G95" s="509"/>
      <c r="H95" s="509"/>
      <c r="I95" s="509"/>
      <c r="J95" s="509"/>
      <c r="K95" s="509"/>
      <c r="L95" s="509"/>
      <c r="M95" s="509"/>
      <c r="N95" s="509"/>
      <c r="O95" s="509"/>
      <c r="P95" s="509"/>
      <c r="Q95" s="509"/>
      <c r="R95" s="509"/>
      <c r="S95" s="509"/>
      <c r="T95" s="509"/>
      <c r="U95" s="509"/>
      <c r="V95" s="509"/>
      <c r="W95" s="509"/>
      <c r="X95" s="509"/>
      <c r="Y95" s="509"/>
      <c r="Z95" s="509"/>
      <c r="AA95" s="509"/>
      <c r="AB95" s="509"/>
      <c r="AC95" s="509"/>
      <c r="AD95" s="509"/>
      <c r="AE95" s="510"/>
      <c r="AF95" s="510"/>
    </row>
    <row r="96" spans="1:32" s="59" customFormat="1" ht="13.8" x14ac:dyDescent="0.25">
      <c r="A96" s="509"/>
      <c r="B96" s="509"/>
      <c r="C96" s="509"/>
      <c r="D96" s="509"/>
      <c r="E96" s="509"/>
      <c r="F96" s="509"/>
      <c r="G96" s="509"/>
      <c r="H96" s="509"/>
      <c r="I96" s="509"/>
      <c r="J96" s="509"/>
      <c r="K96" s="509"/>
      <c r="L96" s="509"/>
      <c r="M96" s="509"/>
      <c r="N96" s="509"/>
      <c r="O96" s="509"/>
      <c r="P96" s="509"/>
      <c r="Q96" s="509"/>
      <c r="R96" s="509"/>
      <c r="S96" s="509"/>
      <c r="T96" s="509"/>
      <c r="U96" s="509"/>
      <c r="V96" s="509"/>
      <c r="W96" s="509"/>
      <c r="X96" s="509"/>
      <c r="Y96" s="509"/>
      <c r="Z96" s="509"/>
      <c r="AA96" s="509"/>
      <c r="AB96" s="509"/>
      <c r="AC96" s="509"/>
      <c r="AD96" s="509"/>
      <c r="AE96" s="417"/>
      <c r="AF96" s="510"/>
    </row>
    <row r="97" spans="2:21" s="59" customFormat="1" ht="13.8" x14ac:dyDescent="0.25">
      <c r="B97" s="60"/>
      <c r="C97" s="438" t="s">
        <v>3989</v>
      </c>
      <c r="D97" s="544" t="s">
        <v>3990</v>
      </c>
      <c r="E97" s="544"/>
      <c r="F97" s="544"/>
      <c r="G97" s="544"/>
      <c r="H97" s="544"/>
      <c r="I97" s="544"/>
      <c r="T97" s="60"/>
      <c r="U97" s="60"/>
    </row>
    <row r="98" spans="2:21" s="59" customFormat="1" ht="13.95" customHeight="1" x14ac:dyDescent="0.25">
      <c r="B98" s="60"/>
      <c r="C98" s="438" t="s">
        <v>3987</v>
      </c>
      <c r="D98" s="553" t="s">
        <v>3988</v>
      </c>
      <c r="E98" s="553"/>
      <c r="F98" s="553"/>
      <c r="G98" s="553"/>
      <c r="H98" s="553"/>
      <c r="I98" s="553"/>
      <c r="T98" s="60"/>
      <c r="U98" s="60"/>
    </row>
    <row r="99" spans="2:21" s="59" customFormat="1" ht="14.4" customHeight="1" x14ac:dyDescent="0.25">
      <c r="T99" s="60"/>
      <c r="U99" s="60"/>
    </row>
    <row r="100" spans="2:21" s="59" customFormat="1" ht="13.8" x14ac:dyDescent="0.25">
      <c r="B100" s="554" t="s">
        <v>3984</v>
      </c>
      <c r="C100" s="554"/>
      <c r="D100" s="554"/>
      <c r="E100" s="554"/>
      <c r="F100" s="554"/>
      <c r="G100" s="554"/>
      <c r="H100" s="554"/>
      <c r="I100" s="554"/>
      <c r="T100" s="60"/>
      <c r="U100" s="60"/>
    </row>
  </sheetData>
  <mergeCells count="158">
    <mergeCell ref="D83:D84"/>
    <mergeCell ref="U71:U73"/>
    <mergeCell ref="A82:A84"/>
    <mergeCell ref="B82:B84"/>
    <mergeCell ref="E82:E84"/>
    <mergeCell ref="F82:F84"/>
    <mergeCell ref="G82:G84"/>
    <mergeCell ref="S82:S84"/>
    <mergeCell ref="T82:T84"/>
    <mergeCell ref="U82:U84"/>
    <mergeCell ref="C83:C84"/>
    <mergeCell ref="A71:A73"/>
    <mergeCell ref="B71:B73"/>
    <mergeCell ref="E71:E73"/>
    <mergeCell ref="F71:F73"/>
    <mergeCell ref="S71:S73"/>
    <mergeCell ref="T71:T73"/>
    <mergeCell ref="T67:T68"/>
    <mergeCell ref="U67:U68"/>
    <mergeCell ref="A69:A70"/>
    <mergeCell ref="B69:B70"/>
    <mergeCell ref="E69:E70"/>
    <mergeCell ref="F69:F70"/>
    <mergeCell ref="S69:S70"/>
    <mergeCell ref="T69:T70"/>
    <mergeCell ref="U69:U70"/>
    <mergeCell ref="A67:A68"/>
    <mergeCell ref="B67:B68"/>
    <mergeCell ref="E67:E68"/>
    <mergeCell ref="F67:F68"/>
    <mergeCell ref="G67:G68"/>
    <mergeCell ref="S67:S68"/>
    <mergeCell ref="U61:U62"/>
    <mergeCell ref="A63:A64"/>
    <mergeCell ref="B63:B64"/>
    <mergeCell ref="E63:E64"/>
    <mergeCell ref="F63:F64"/>
    <mergeCell ref="S63:S64"/>
    <mergeCell ref="T63:T64"/>
    <mergeCell ref="U63:U64"/>
    <mergeCell ref="A61:A62"/>
    <mergeCell ref="B61:B62"/>
    <mergeCell ref="E61:E62"/>
    <mergeCell ref="F61:F62"/>
    <mergeCell ref="S61:S62"/>
    <mergeCell ref="T61:T62"/>
    <mergeCell ref="U50:U52"/>
    <mergeCell ref="A59:A60"/>
    <mergeCell ref="B59:B60"/>
    <mergeCell ref="E59:E60"/>
    <mergeCell ref="F59:F60"/>
    <mergeCell ref="S59:S60"/>
    <mergeCell ref="T59:T60"/>
    <mergeCell ref="U59:U60"/>
    <mergeCell ref="A50:A52"/>
    <mergeCell ref="B50:B52"/>
    <mergeCell ref="E50:E52"/>
    <mergeCell ref="F50:F52"/>
    <mergeCell ref="S50:S52"/>
    <mergeCell ref="T50:T52"/>
    <mergeCell ref="A47:A49"/>
    <mergeCell ref="B47:B49"/>
    <mergeCell ref="E47:E49"/>
    <mergeCell ref="F47:F49"/>
    <mergeCell ref="G47:G49"/>
    <mergeCell ref="S47:S49"/>
    <mergeCell ref="T47:T49"/>
    <mergeCell ref="U47:U49"/>
    <mergeCell ref="A44:A45"/>
    <mergeCell ref="B44:B45"/>
    <mergeCell ref="E44:E45"/>
    <mergeCell ref="F44:F45"/>
    <mergeCell ref="S44:S45"/>
    <mergeCell ref="T44:T45"/>
    <mergeCell ref="A42:A43"/>
    <mergeCell ref="B42:B43"/>
    <mergeCell ref="E42:E43"/>
    <mergeCell ref="F42:F43"/>
    <mergeCell ref="R42:R43"/>
    <mergeCell ref="S42:S43"/>
    <mergeCell ref="T42:T43"/>
    <mergeCell ref="U42:U43"/>
    <mergeCell ref="U44:U45"/>
    <mergeCell ref="G29:G32"/>
    <mergeCell ref="S29:S32"/>
    <mergeCell ref="T29:T32"/>
    <mergeCell ref="U29:U32"/>
    <mergeCell ref="A36:A37"/>
    <mergeCell ref="B36:B37"/>
    <mergeCell ref="E36:E37"/>
    <mergeCell ref="F36:F37"/>
    <mergeCell ref="S36:S37"/>
    <mergeCell ref="T36:T37"/>
    <mergeCell ref="A29:A32"/>
    <mergeCell ref="B29:B32"/>
    <mergeCell ref="C29:C32"/>
    <mergeCell ref="D29:D32"/>
    <mergeCell ref="E29:E32"/>
    <mergeCell ref="F29:F32"/>
    <mergeCell ref="U36:U37"/>
    <mergeCell ref="U21:U23"/>
    <mergeCell ref="A25:A26"/>
    <mergeCell ref="B25:B26"/>
    <mergeCell ref="E25:E26"/>
    <mergeCell ref="F25:F26"/>
    <mergeCell ref="S25:S26"/>
    <mergeCell ref="T25:T26"/>
    <mergeCell ref="U25:U26"/>
    <mergeCell ref="A21:A23"/>
    <mergeCell ref="B21:B23"/>
    <mergeCell ref="E21:E23"/>
    <mergeCell ref="F21:F23"/>
    <mergeCell ref="S21:S23"/>
    <mergeCell ref="T21:T23"/>
    <mergeCell ref="S13:S14"/>
    <mergeCell ref="T13:T14"/>
    <mergeCell ref="U13:U14"/>
    <mergeCell ref="A18:A20"/>
    <mergeCell ref="B18:B20"/>
    <mergeCell ref="E18:E20"/>
    <mergeCell ref="F18:F20"/>
    <mergeCell ref="S18:S20"/>
    <mergeCell ref="T18:T20"/>
    <mergeCell ref="U18:U20"/>
    <mergeCell ref="N4:N5"/>
    <mergeCell ref="O4:O5"/>
    <mergeCell ref="P4:P5"/>
    <mergeCell ref="Q4:Q5"/>
    <mergeCell ref="R4:R5"/>
    <mergeCell ref="A13:A14"/>
    <mergeCell ref="B13:B14"/>
    <mergeCell ref="E13:E14"/>
    <mergeCell ref="F13:F14"/>
    <mergeCell ref="G13:G14"/>
    <mergeCell ref="D94:F94"/>
    <mergeCell ref="D97:I97"/>
    <mergeCell ref="D98:I98"/>
    <mergeCell ref="B100:I100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DD1FE-A3FA-4C2B-AAC0-EE82D165EF23}">
  <dimension ref="A1:AF237"/>
  <sheetViews>
    <sheetView workbookViewId="0">
      <selection activeCell="V5" sqref="V5"/>
    </sheetView>
  </sheetViews>
  <sheetFormatPr defaultColWidth="8.88671875" defaultRowHeight="13.8" x14ac:dyDescent="0.25"/>
  <cols>
    <col min="1" max="1" width="16.109375" style="59" customWidth="1"/>
    <col min="2" max="2" width="36" style="60" bestFit="1" customWidth="1"/>
    <col min="3" max="3" width="10.88671875" style="59" customWidth="1"/>
    <col min="4" max="7" width="8.88671875" style="59"/>
    <col min="8" max="8" width="11.5546875" style="59" customWidth="1"/>
    <col min="9" max="9" width="24.33203125" style="59" customWidth="1"/>
    <col min="10" max="10" width="12.44140625" style="59" customWidth="1"/>
    <col min="11" max="12" width="10.5546875" style="59" customWidth="1"/>
    <col min="13" max="13" width="11.77734375" style="59" customWidth="1"/>
    <col min="14" max="14" width="11.44140625" style="59" customWidth="1"/>
    <col min="15" max="15" width="11.33203125" style="59" customWidth="1"/>
    <col min="16" max="17" width="8.88671875" style="59"/>
    <col min="18" max="18" width="22.5546875" style="59" bestFit="1" customWidth="1"/>
    <col min="19" max="19" width="19" style="59" customWidth="1"/>
    <col min="20" max="20" width="36.33203125" style="75" customWidth="1"/>
    <col min="21" max="21" width="23.88671875" style="59" customWidth="1"/>
    <col min="22" max="22" width="8.88671875" style="59"/>
    <col min="23" max="23" width="26.33203125" style="60" customWidth="1"/>
    <col min="24" max="16384" width="8.88671875" style="59"/>
  </cols>
  <sheetData>
    <row r="1" spans="1:23" ht="17.399999999999999" customHeight="1" thickBot="1" x14ac:dyDescent="0.3">
      <c r="A1" s="699" t="s">
        <v>341</v>
      </c>
      <c r="B1" s="699"/>
      <c r="C1" s="699"/>
      <c r="D1" s="699"/>
      <c r="E1" s="699"/>
      <c r="F1" s="699"/>
      <c r="G1" s="699"/>
      <c r="H1" s="699"/>
      <c r="I1" s="699"/>
      <c r="J1" s="699"/>
      <c r="K1" s="699"/>
      <c r="L1" s="699"/>
      <c r="M1" s="699"/>
      <c r="N1" s="699"/>
      <c r="O1" s="699"/>
      <c r="P1" s="699"/>
      <c r="Q1" s="699"/>
      <c r="R1" s="589"/>
      <c r="S1" s="589"/>
    </row>
    <row r="2" spans="1:23" s="385" customFormat="1" thickBot="1" x14ac:dyDescent="0.3">
      <c r="A2" s="700" t="s">
        <v>342</v>
      </c>
      <c r="B2" s="700" t="s">
        <v>2</v>
      </c>
      <c r="C2" s="702" t="s">
        <v>3</v>
      </c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4" t="s">
        <v>4</v>
      </c>
      <c r="S2" s="706" t="s">
        <v>5</v>
      </c>
      <c r="T2" s="716" t="s">
        <v>207</v>
      </c>
      <c r="U2" s="718" t="s">
        <v>7</v>
      </c>
      <c r="W2" s="525"/>
    </row>
    <row r="3" spans="1:23" s="385" customFormat="1" ht="30" customHeight="1" thickBot="1" x14ac:dyDescent="0.3">
      <c r="A3" s="701"/>
      <c r="B3" s="701"/>
      <c r="C3" s="702" t="s">
        <v>8</v>
      </c>
      <c r="D3" s="703"/>
      <c r="E3" s="703"/>
      <c r="F3" s="703"/>
      <c r="G3" s="707"/>
      <c r="H3" s="702" t="s">
        <v>9</v>
      </c>
      <c r="I3" s="703"/>
      <c r="J3" s="703"/>
      <c r="K3" s="703"/>
      <c r="L3" s="703"/>
      <c r="M3" s="703"/>
      <c r="N3" s="703"/>
      <c r="O3" s="707"/>
      <c r="P3" s="702" t="s">
        <v>10</v>
      </c>
      <c r="Q3" s="703"/>
      <c r="R3" s="705"/>
      <c r="S3" s="701"/>
      <c r="T3" s="717"/>
      <c r="U3" s="719"/>
      <c r="W3" s="525"/>
    </row>
    <row r="4" spans="1:23" s="385" customFormat="1" ht="15" customHeight="1" thickBot="1" x14ac:dyDescent="0.3">
      <c r="A4" s="701"/>
      <c r="B4" s="701"/>
      <c r="C4" s="702" t="s">
        <v>11</v>
      </c>
      <c r="D4" s="707"/>
      <c r="E4" s="700" t="s">
        <v>12</v>
      </c>
      <c r="F4" s="700" t="s">
        <v>208</v>
      </c>
      <c r="G4" s="700" t="s">
        <v>14</v>
      </c>
      <c r="H4" s="700" t="s">
        <v>15</v>
      </c>
      <c r="I4" s="702" t="s">
        <v>16</v>
      </c>
      <c r="J4" s="707"/>
      <c r="K4" s="700" t="s">
        <v>17</v>
      </c>
      <c r="L4" s="700" t="s">
        <v>208</v>
      </c>
      <c r="M4" s="700" t="s">
        <v>344</v>
      </c>
      <c r="N4" s="700" t="s">
        <v>19</v>
      </c>
      <c r="O4" s="700" t="s">
        <v>210</v>
      </c>
      <c r="P4" s="700" t="s">
        <v>211</v>
      </c>
      <c r="Q4" s="720" t="s">
        <v>17</v>
      </c>
      <c r="R4" s="721" t="s">
        <v>21</v>
      </c>
      <c r="S4" s="701"/>
      <c r="T4" s="717"/>
      <c r="U4" s="719"/>
      <c r="W4" s="525"/>
    </row>
    <row r="5" spans="1:23" s="385" customFormat="1" ht="43.95" customHeight="1" thickBot="1" x14ac:dyDescent="0.3">
      <c r="A5" s="701"/>
      <c r="B5" s="701"/>
      <c r="C5" s="105" t="s">
        <v>22</v>
      </c>
      <c r="D5" s="105" t="s">
        <v>23</v>
      </c>
      <c r="E5" s="701"/>
      <c r="F5" s="701"/>
      <c r="G5" s="701"/>
      <c r="H5" s="701"/>
      <c r="I5" s="105" t="s">
        <v>24</v>
      </c>
      <c r="J5" s="105" t="s">
        <v>25</v>
      </c>
      <c r="K5" s="701"/>
      <c r="L5" s="701"/>
      <c r="M5" s="708"/>
      <c r="N5" s="701"/>
      <c r="O5" s="701"/>
      <c r="P5" s="701"/>
      <c r="Q5" s="717"/>
      <c r="R5" s="722"/>
      <c r="S5" s="701"/>
      <c r="T5" s="717"/>
      <c r="U5" s="719"/>
      <c r="W5" s="525"/>
    </row>
    <row r="6" spans="1:23" s="385" customFormat="1" thickBot="1" x14ac:dyDescent="0.3">
      <c r="A6" s="202">
        <v>1</v>
      </c>
      <c r="B6" s="526">
        <v>2</v>
      </c>
      <c r="C6" s="526">
        <v>3</v>
      </c>
      <c r="D6" s="526">
        <v>4</v>
      </c>
      <c r="E6" s="526">
        <v>5</v>
      </c>
      <c r="F6" s="526">
        <v>6</v>
      </c>
      <c r="G6" s="526">
        <v>7</v>
      </c>
      <c r="H6" s="526">
        <v>8</v>
      </c>
      <c r="I6" s="526">
        <v>9</v>
      </c>
      <c r="J6" s="526">
        <v>10</v>
      </c>
      <c r="K6" s="526">
        <v>11</v>
      </c>
      <c r="L6" s="526">
        <v>12</v>
      </c>
      <c r="M6" s="526">
        <v>13</v>
      </c>
      <c r="N6" s="526">
        <v>14</v>
      </c>
      <c r="O6" s="526">
        <v>15</v>
      </c>
      <c r="P6" s="526">
        <v>16</v>
      </c>
      <c r="Q6" s="526">
        <v>17</v>
      </c>
      <c r="R6" s="526">
        <v>18</v>
      </c>
      <c r="S6" s="526">
        <v>19</v>
      </c>
      <c r="T6" s="526">
        <v>20</v>
      </c>
      <c r="U6" s="527">
        <v>21</v>
      </c>
      <c r="W6" s="525"/>
    </row>
    <row r="7" spans="1:23" ht="27.6" customHeight="1" x14ac:dyDescent="0.25">
      <c r="A7" s="709" t="s">
        <v>346</v>
      </c>
      <c r="B7" s="711" t="s">
        <v>347</v>
      </c>
      <c r="C7" s="79">
        <v>0</v>
      </c>
      <c r="D7" s="79">
        <v>0.68899999999999995</v>
      </c>
      <c r="E7" s="695">
        <v>0.81100000000000005</v>
      </c>
      <c r="F7" s="712">
        <v>4865</v>
      </c>
      <c r="G7" s="714" t="s">
        <v>348</v>
      </c>
      <c r="H7" s="9"/>
      <c r="I7" s="9"/>
      <c r="J7" s="9"/>
      <c r="K7" s="9"/>
      <c r="L7" s="9"/>
      <c r="M7" s="9"/>
      <c r="N7" s="9"/>
      <c r="O7" s="9"/>
      <c r="P7" s="9"/>
      <c r="Q7" s="9"/>
      <c r="R7" s="9">
        <v>70460090175</v>
      </c>
      <c r="S7" s="620" t="s">
        <v>349</v>
      </c>
      <c r="T7" s="632" t="s">
        <v>215</v>
      </c>
      <c r="U7" s="513"/>
    </row>
    <row r="8" spans="1:23" ht="14.4" thickBot="1" x14ac:dyDescent="0.3">
      <c r="A8" s="710"/>
      <c r="B8" s="652"/>
      <c r="C8" s="46">
        <v>0.68899999999999995</v>
      </c>
      <c r="D8" s="46">
        <v>0.81100000000000005</v>
      </c>
      <c r="E8" s="696"/>
      <c r="F8" s="713"/>
      <c r="G8" s="663"/>
      <c r="H8" s="20"/>
      <c r="I8" s="20"/>
      <c r="J8" s="20"/>
      <c r="K8" s="20"/>
      <c r="L8" s="20"/>
      <c r="M8" s="20"/>
      <c r="N8" s="20"/>
      <c r="O8" s="20"/>
      <c r="P8" s="20"/>
      <c r="Q8" s="20"/>
      <c r="R8" s="20">
        <v>70460090237</v>
      </c>
      <c r="S8" s="631"/>
      <c r="T8" s="634"/>
      <c r="U8" s="514"/>
    </row>
    <row r="9" spans="1:23" x14ac:dyDescent="0.25">
      <c r="A9" s="715" t="s">
        <v>350</v>
      </c>
      <c r="B9" s="651" t="s">
        <v>351</v>
      </c>
      <c r="C9" s="694">
        <v>0</v>
      </c>
      <c r="D9" s="694">
        <v>0.32300000000000001</v>
      </c>
      <c r="E9" s="694">
        <v>0.32300000000000001</v>
      </c>
      <c r="F9" s="723">
        <v>1292</v>
      </c>
      <c r="G9" s="662" t="s">
        <v>348</v>
      </c>
      <c r="H9" s="84"/>
      <c r="I9" s="84"/>
      <c r="J9" s="84"/>
      <c r="K9" s="84"/>
      <c r="L9" s="84"/>
      <c r="M9" s="84"/>
      <c r="N9" s="84"/>
      <c r="O9" s="84"/>
      <c r="P9" s="84"/>
      <c r="Q9" s="84"/>
      <c r="R9" s="84" t="s">
        <v>352</v>
      </c>
      <c r="S9" s="641" t="s">
        <v>353</v>
      </c>
      <c r="T9" s="641" t="s">
        <v>215</v>
      </c>
      <c r="U9" s="515"/>
    </row>
    <row r="10" spans="1:23" x14ac:dyDescent="0.25">
      <c r="A10" s="709"/>
      <c r="B10" s="711"/>
      <c r="C10" s="695"/>
      <c r="D10" s="695"/>
      <c r="E10" s="695"/>
      <c r="F10" s="712"/>
      <c r="G10" s="714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 t="s">
        <v>354</v>
      </c>
      <c r="S10" s="632"/>
      <c r="T10" s="632"/>
      <c r="U10" s="513"/>
    </row>
    <row r="11" spans="1:23" x14ac:dyDescent="0.25">
      <c r="A11" s="709"/>
      <c r="B11" s="711"/>
      <c r="C11" s="695"/>
      <c r="D11" s="695"/>
      <c r="E11" s="695"/>
      <c r="F11" s="712"/>
      <c r="G11" s="714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 t="s">
        <v>355</v>
      </c>
      <c r="S11" s="633"/>
      <c r="T11" s="633"/>
      <c r="U11" s="516"/>
    </row>
    <row r="12" spans="1:23" x14ac:dyDescent="0.25">
      <c r="A12" s="709"/>
      <c r="B12" s="711"/>
      <c r="C12" s="695"/>
      <c r="D12" s="695"/>
      <c r="E12" s="695"/>
      <c r="F12" s="712"/>
      <c r="G12" s="714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>
        <v>70460080363</v>
      </c>
      <c r="S12" s="633"/>
      <c r="T12" s="633"/>
      <c r="U12" s="516"/>
    </row>
    <row r="13" spans="1:23" x14ac:dyDescent="0.25">
      <c r="A13" s="709"/>
      <c r="B13" s="711"/>
      <c r="C13" s="695"/>
      <c r="D13" s="695"/>
      <c r="E13" s="695"/>
      <c r="F13" s="712"/>
      <c r="G13" s="714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 t="s">
        <v>356</v>
      </c>
      <c r="S13" s="633"/>
      <c r="T13" s="633"/>
      <c r="U13" s="516"/>
    </row>
    <row r="14" spans="1:23" x14ac:dyDescent="0.25">
      <c r="A14" s="709"/>
      <c r="B14" s="711"/>
      <c r="C14" s="695"/>
      <c r="D14" s="695"/>
      <c r="E14" s="695"/>
      <c r="F14" s="712"/>
      <c r="G14" s="714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 t="s">
        <v>357</v>
      </c>
      <c r="S14" s="633"/>
      <c r="T14" s="633"/>
      <c r="U14" s="516"/>
    </row>
    <row r="15" spans="1:23" x14ac:dyDescent="0.25">
      <c r="A15" s="709"/>
      <c r="B15" s="711"/>
      <c r="C15" s="695"/>
      <c r="D15" s="695"/>
      <c r="E15" s="695"/>
      <c r="F15" s="712"/>
      <c r="G15" s="714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 t="s">
        <v>358</v>
      </c>
      <c r="S15" s="633"/>
      <c r="T15" s="633"/>
      <c r="U15" s="516"/>
    </row>
    <row r="16" spans="1:23" ht="14.4" thickBot="1" x14ac:dyDescent="0.3">
      <c r="A16" s="710"/>
      <c r="B16" s="652"/>
      <c r="C16" s="696"/>
      <c r="D16" s="696"/>
      <c r="E16" s="696"/>
      <c r="F16" s="713"/>
      <c r="G16" s="663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 t="s">
        <v>359</v>
      </c>
      <c r="S16" s="634"/>
      <c r="T16" s="634"/>
      <c r="U16" s="514"/>
    </row>
    <row r="17" spans="1:21" ht="36.6" customHeight="1" x14ac:dyDescent="0.25">
      <c r="A17" s="715" t="s">
        <v>360</v>
      </c>
      <c r="B17" s="651" t="s">
        <v>361</v>
      </c>
      <c r="C17" s="694">
        <v>0</v>
      </c>
      <c r="D17" s="694">
        <v>0.32800000000000001</v>
      </c>
      <c r="E17" s="694">
        <v>0.32800000000000001</v>
      </c>
      <c r="F17" s="723">
        <v>1969</v>
      </c>
      <c r="G17" s="662" t="s">
        <v>348</v>
      </c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>
        <v>70460090245</v>
      </c>
      <c r="S17" s="640" t="s">
        <v>349</v>
      </c>
      <c r="T17" s="641" t="s">
        <v>215</v>
      </c>
      <c r="U17" s="664" t="s">
        <v>67</v>
      </c>
    </row>
    <row r="18" spans="1:21" x14ac:dyDescent="0.25">
      <c r="A18" s="709"/>
      <c r="B18" s="711"/>
      <c r="C18" s="695"/>
      <c r="D18" s="695"/>
      <c r="E18" s="695"/>
      <c r="F18" s="712"/>
      <c r="G18" s="714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 t="s">
        <v>362</v>
      </c>
      <c r="S18" s="621"/>
      <c r="T18" s="633"/>
      <c r="U18" s="724"/>
    </row>
    <row r="19" spans="1:21" x14ac:dyDescent="0.25">
      <c r="A19" s="709"/>
      <c r="B19" s="711"/>
      <c r="C19" s="695"/>
      <c r="D19" s="695"/>
      <c r="E19" s="695"/>
      <c r="F19" s="712"/>
      <c r="G19" s="714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 t="s">
        <v>363</v>
      </c>
      <c r="S19" s="621"/>
      <c r="T19" s="633"/>
      <c r="U19" s="724"/>
    </row>
    <row r="20" spans="1:21" x14ac:dyDescent="0.25">
      <c r="A20" s="709"/>
      <c r="B20" s="711"/>
      <c r="C20" s="695"/>
      <c r="D20" s="695"/>
      <c r="E20" s="695"/>
      <c r="F20" s="712"/>
      <c r="G20" s="714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 t="s">
        <v>364</v>
      </c>
      <c r="S20" s="621"/>
      <c r="T20" s="633"/>
      <c r="U20" s="724"/>
    </row>
    <row r="21" spans="1:21" ht="14.4" thickBot="1" x14ac:dyDescent="0.3">
      <c r="A21" s="710"/>
      <c r="B21" s="652"/>
      <c r="C21" s="696"/>
      <c r="D21" s="696"/>
      <c r="E21" s="696"/>
      <c r="F21" s="713"/>
      <c r="G21" s="663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>
        <v>70460090250</v>
      </c>
      <c r="S21" s="631"/>
      <c r="T21" s="634"/>
      <c r="U21" s="665"/>
    </row>
    <row r="22" spans="1:21" ht="36.6" thickBot="1" x14ac:dyDescent="0.3">
      <c r="A22" s="40" t="s">
        <v>365</v>
      </c>
      <c r="B22" s="23" t="s">
        <v>366</v>
      </c>
      <c r="C22" s="24">
        <v>0</v>
      </c>
      <c r="D22" s="24">
        <v>0.27200000000000002</v>
      </c>
      <c r="E22" s="24">
        <v>0.27200000000000002</v>
      </c>
      <c r="F22" s="25">
        <v>1631</v>
      </c>
      <c r="G22" s="27" t="s">
        <v>348</v>
      </c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>
        <v>70460090239</v>
      </c>
      <c r="S22" s="88" t="s">
        <v>349</v>
      </c>
      <c r="T22" s="3" t="s">
        <v>215</v>
      </c>
      <c r="U22" s="517"/>
    </row>
    <row r="23" spans="1:21" x14ac:dyDescent="0.25">
      <c r="A23" s="715" t="s">
        <v>367</v>
      </c>
      <c r="B23" s="651" t="s">
        <v>226</v>
      </c>
      <c r="C23" s="668">
        <v>0</v>
      </c>
      <c r="D23" s="668">
        <v>0.16500000000000001</v>
      </c>
      <c r="E23" s="668">
        <v>0.16500000000000001</v>
      </c>
      <c r="F23" s="658">
        <v>662</v>
      </c>
      <c r="G23" s="727" t="s">
        <v>368</v>
      </c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 t="s">
        <v>369</v>
      </c>
      <c r="S23" s="640" t="s">
        <v>353</v>
      </c>
      <c r="T23" s="641" t="s">
        <v>215</v>
      </c>
      <c r="U23" s="515"/>
    </row>
    <row r="24" spans="1:21" x14ac:dyDescent="0.25">
      <c r="A24" s="709"/>
      <c r="B24" s="711"/>
      <c r="C24" s="725"/>
      <c r="D24" s="725"/>
      <c r="E24" s="725"/>
      <c r="F24" s="726"/>
      <c r="G24" s="728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>
        <v>70460080343</v>
      </c>
      <c r="S24" s="621"/>
      <c r="T24" s="633"/>
      <c r="U24" s="516"/>
    </row>
    <row r="25" spans="1:21" x14ac:dyDescent="0.25">
      <c r="A25" s="709"/>
      <c r="B25" s="711"/>
      <c r="C25" s="725"/>
      <c r="D25" s="725"/>
      <c r="E25" s="725"/>
      <c r="F25" s="726"/>
      <c r="G25" s="728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 t="s">
        <v>370</v>
      </c>
      <c r="S25" s="730"/>
      <c r="T25" s="731"/>
      <c r="U25" s="518"/>
    </row>
    <row r="26" spans="1:21" ht="14.4" thickBot="1" x14ac:dyDescent="0.3">
      <c r="A26" s="710"/>
      <c r="B26" s="652"/>
      <c r="C26" s="669"/>
      <c r="D26" s="669"/>
      <c r="E26" s="669"/>
      <c r="F26" s="659"/>
      <c r="G26" s="72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 t="s">
        <v>371</v>
      </c>
      <c r="S26" s="631"/>
      <c r="T26" s="634"/>
      <c r="U26" s="514"/>
    </row>
    <row r="27" spans="1:21" x14ac:dyDescent="0.25">
      <c r="A27" s="715" t="s">
        <v>372</v>
      </c>
      <c r="B27" s="651" t="s">
        <v>373</v>
      </c>
      <c r="C27" s="668">
        <v>0</v>
      </c>
      <c r="D27" s="668">
        <v>0.17699999999999999</v>
      </c>
      <c r="E27" s="668">
        <v>0.17699999999999999</v>
      </c>
      <c r="F27" s="658">
        <v>707</v>
      </c>
      <c r="G27" s="727" t="s">
        <v>368</v>
      </c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>
        <v>70460090252</v>
      </c>
      <c r="S27" s="640" t="s">
        <v>349</v>
      </c>
      <c r="T27" s="641" t="s">
        <v>215</v>
      </c>
      <c r="U27" s="515"/>
    </row>
    <row r="28" spans="1:21" x14ac:dyDescent="0.25">
      <c r="A28" s="709"/>
      <c r="B28" s="711"/>
      <c r="C28" s="725"/>
      <c r="D28" s="725"/>
      <c r="E28" s="725"/>
      <c r="F28" s="726"/>
      <c r="G28" s="728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 t="s">
        <v>374</v>
      </c>
      <c r="S28" s="621"/>
      <c r="T28" s="633"/>
      <c r="U28" s="516"/>
    </row>
    <row r="29" spans="1:21" x14ac:dyDescent="0.25">
      <c r="A29" s="709"/>
      <c r="B29" s="711"/>
      <c r="C29" s="725"/>
      <c r="D29" s="725"/>
      <c r="E29" s="725"/>
      <c r="F29" s="726"/>
      <c r="G29" s="728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 t="s">
        <v>375</v>
      </c>
      <c r="S29" s="730"/>
      <c r="T29" s="731"/>
      <c r="U29" s="518"/>
    </row>
    <row r="30" spans="1:21" x14ac:dyDescent="0.25">
      <c r="A30" s="709"/>
      <c r="B30" s="711"/>
      <c r="C30" s="725"/>
      <c r="D30" s="725"/>
      <c r="E30" s="725"/>
      <c r="F30" s="726"/>
      <c r="G30" s="728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 t="s">
        <v>376</v>
      </c>
      <c r="S30" s="730"/>
      <c r="T30" s="731"/>
      <c r="U30" s="518"/>
    </row>
    <row r="31" spans="1:21" ht="14.4" thickBot="1" x14ac:dyDescent="0.3">
      <c r="A31" s="710"/>
      <c r="B31" s="652"/>
      <c r="C31" s="669"/>
      <c r="D31" s="669"/>
      <c r="E31" s="669"/>
      <c r="F31" s="659"/>
      <c r="G31" s="72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 t="s">
        <v>377</v>
      </c>
      <c r="S31" s="631"/>
      <c r="T31" s="634"/>
      <c r="U31" s="514"/>
    </row>
    <row r="32" spans="1:21" x14ac:dyDescent="0.25">
      <c r="A32" s="715" t="s">
        <v>378</v>
      </c>
      <c r="B32" s="651" t="s">
        <v>379</v>
      </c>
      <c r="C32" s="694">
        <v>0</v>
      </c>
      <c r="D32" s="694">
        <v>0.28100000000000003</v>
      </c>
      <c r="E32" s="694">
        <v>0.28100000000000003</v>
      </c>
      <c r="F32" s="723">
        <v>1125</v>
      </c>
      <c r="G32" s="662" t="s">
        <v>348</v>
      </c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>
        <v>70460080344</v>
      </c>
      <c r="S32" s="640" t="s">
        <v>353</v>
      </c>
      <c r="T32" s="641" t="s">
        <v>215</v>
      </c>
      <c r="U32" s="515"/>
    </row>
    <row r="33" spans="1:21" x14ac:dyDescent="0.25">
      <c r="A33" s="709"/>
      <c r="B33" s="711"/>
      <c r="C33" s="695"/>
      <c r="D33" s="695"/>
      <c r="E33" s="695"/>
      <c r="F33" s="712"/>
      <c r="G33" s="714"/>
      <c r="H33" s="9"/>
      <c r="I33" s="9"/>
      <c r="J33" s="9"/>
      <c r="K33" s="9"/>
      <c r="L33" s="9"/>
      <c r="M33" s="9"/>
      <c r="N33" s="9"/>
      <c r="O33" s="9"/>
      <c r="P33" s="9"/>
      <c r="Q33" s="9"/>
      <c r="R33" s="9" t="s">
        <v>380</v>
      </c>
      <c r="S33" s="620"/>
      <c r="T33" s="632"/>
      <c r="U33" s="513"/>
    </row>
    <row r="34" spans="1:21" x14ac:dyDescent="0.25">
      <c r="A34" s="709"/>
      <c r="B34" s="711"/>
      <c r="C34" s="695"/>
      <c r="D34" s="695"/>
      <c r="E34" s="695"/>
      <c r="F34" s="712"/>
      <c r="G34" s="714"/>
      <c r="H34" s="9"/>
      <c r="I34" s="9"/>
      <c r="J34" s="9"/>
      <c r="K34" s="9"/>
      <c r="L34" s="9"/>
      <c r="M34" s="9"/>
      <c r="N34" s="9"/>
      <c r="O34" s="9"/>
      <c r="P34" s="9"/>
      <c r="Q34" s="9"/>
      <c r="R34" s="9" t="s">
        <v>381</v>
      </c>
      <c r="S34" s="620"/>
      <c r="T34" s="632"/>
      <c r="U34" s="513"/>
    </row>
    <row r="35" spans="1:21" x14ac:dyDescent="0.25">
      <c r="A35" s="709"/>
      <c r="B35" s="711"/>
      <c r="C35" s="695"/>
      <c r="D35" s="695"/>
      <c r="E35" s="695"/>
      <c r="F35" s="712"/>
      <c r="G35" s="7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>
        <v>70460080374</v>
      </c>
      <c r="S35" s="621"/>
      <c r="T35" s="633"/>
      <c r="U35" s="516"/>
    </row>
    <row r="36" spans="1:21" x14ac:dyDescent="0.25">
      <c r="A36" s="709"/>
      <c r="B36" s="711"/>
      <c r="C36" s="695"/>
      <c r="D36" s="695"/>
      <c r="E36" s="695"/>
      <c r="F36" s="712"/>
      <c r="G36" s="7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 t="s">
        <v>382</v>
      </c>
      <c r="S36" s="621"/>
      <c r="T36" s="633"/>
      <c r="U36" s="516"/>
    </row>
    <row r="37" spans="1:21" x14ac:dyDescent="0.25">
      <c r="A37" s="709"/>
      <c r="B37" s="711"/>
      <c r="C37" s="695"/>
      <c r="D37" s="695"/>
      <c r="E37" s="695"/>
      <c r="F37" s="712"/>
      <c r="G37" s="714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 t="s">
        <v>383</v>
      </c>
      <c r="S37" s="730"/>
      <c r="T37" s="731"/>
      <c r="U37" s="518"/>
    </row>
    <row r="38" spans="1:21" ht="14.4" thickBot="1" x14ac:dyDescent="0.3">
      <c r="A38" s="710"/>
      <c r="B38" s="652"/>
      <c r="C38" s="696"/>
      <c r="D38" s="696"/>
      <c r="E38" s="696"/>
      <c r="F38" s="713"/>
      <c r="G38" s="663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 t="s">
        <v>354</v>
      </c>
      <c r="S38" s="631"/>
      <c r="T38" s="634"/>
      <c r="U38" s="514"/>
    </row>
    <row r="39" spans="1:21" x14ac:dyDescent="0.25">
      <c r="A39" s="715" t="s">
        <v>384</v>
      </c>
      <c r="B39" s="651" t="s">
        <v>385</v>
      </c>
      <c r="C39" s="43">
        <v>0</v>
      </c>
      <c r="D39" s="43">
        <v>0.39900000000000002</v>
      </c>
      <c r="E39" s="694">
        <v>0.52300000000000002</v>
      </c>
      <c r="F39" s="723">
        <v>3137</v>
      </c>
      <c r="G39" s="662" t="s">
        <v>348</v>
      </c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33">
        <v>70460090299</v>
      </c>
      <c r="S39" s="640" t="s">
        <v>349</v>
      </c>
      <c r="T39" s="641" t="s">
        <v>215</v>
      </c>
      <c r="U39" s="515"/>
    </row>
    <row r="40" spans="1:21" x14ac:dyDescent="0.25">
      <c r="A40" s="709"/>
      <c r="B40" s="711"/>
      <c r="C40" s="48">
        <v>0.39900000000000002</v>
      </c>
      <c r="D40" s="48">
        <v>0.49299999999999999</v>
      </c>
      <c r="E40" s="695"/>
      <c r="F40" s="712"/>
      <c r="G40" s="714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14" t="s">
        <v>386</v>
      </c>
      <c r="S40" s="621"/>
      <c r="T40" s="633"/>
      <c r="U40" s="516"/>
    </row>
    <row r="41" spans="1:21" ht="14.4" thickBot="1" x14ac:dyDescent="0.3">
      <c r="A41" s="710"/>
      <c r="B41" s="652"/>
      <c r="C41" s="46">
        <v>0.49299999999999999</v>
      </c>
      <c r="D41" s="46">
        <v>0.52300000000000002</v>
      </c>
      <c r="E41" s="696"/>
      <c r="F41" s="713"/>
      <c r="G41" s="663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20" t="s">
        <v>387</v>
      </c>
      <c r="S41" s="631"/>
      <c r="T41" s="634"/>
      <c r="U41" s="514"/>
    </row>
    <row r="42" spans="1:21" x14ac:dyDescent="0.25">
      <c r="A42" s="715" t="s">
        <v>388</v>
      </c>
      <c r="B42" s="651" t="s">
        <v>389</v>
      </c>
      <c r="C42" s="668">
        <v>0</v>
      </c>
      <c r="D42" s="668">
        <v>0.32300000000000001</v>
      </c>
      <c r="E42" s="668">
        <v>0.32300000000000001</v>
      </c>
      <c r="F42" s="658">
        <v>1912</v>
      </c>
      <c r="G42" s="727" t="s">
        <v>368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>
        <v>70460090238</v>
      </c>
      <c r="S42" s="640" t="s">
        <v>349</v>
      </c>
      <c r="T42" s="641" t="s">
        <v>215</v>
      </c>
      <c r="U42" s="515"/>
    </row>
    <row r="43" spans="1:21" x14ac:dyDescent="0.25">
      <c r="A43" s="709"/>
      <c r="B43" s="711"/>
      <c r="C43" s="725"/>
      <c r="D43" s="725"/>
      <c r="E43" s="725"/>
      <c r="F43" s="726"/>
      <c r="G43" s="728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 t="s">
        <v>390</v>
      </c>
      <c r="S43" s="621"/>
      <c r="T43" s="633"/>
      <c r="U43" s="516"/>
    </row>
    <row r="44" spans="1:21" ht="14.4" thickBot="1" x14ac:dyDescent="0.3">
      <c r="A44" s="710"/>
      <c r="B44" s="652"/>
      <c r="C44" s="669"/>
      <c r="D44" s="669"/>
      <c r="E44" s="669"/>
      <c r="F44" s="659"/>
      <c r="G44" s="72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 t="s">
        <v>391</v>
      </c>
      <c r="S44" s="631"/>
      <c r="T44" s="634"/>
      <c r="U44" s="514"/>
    </row>
    <row r="45" spans="1:21" x14ac:dyDescent="0.25">
      <c r="A45" s="715" t="s">
        <v>392</v>
      </c>
      <c r="B45" s="651" t="s">
        <v>247</v>
      </c>
      <c r="C45" s="668">
        <v>0</v>
      </c>
      <c r="D45" s="668">
        <v>0.16700000000000001</v>
      </c>
      <c r="E45" s="668">
        <v>0.16700000000000001</v>
      </c>
      <c r="F45" s="658">
        <v>667</v>
      </c>
      <c r="G45" s="727" t="s">
        <v>368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 t="s">
        <v>393</v>
      </c>
      <c r="S45" s="640" t="s">
        <v>349</v>
      </c>
      <c r="T45" s="641" t="s">
        <v>215</v>
      </c>
      <c r="U45" s="515"/>
    </row>
    <row r="46" spans="1:21" x14ac:dyDescent="0.25">
      <c r="A46" s="709"/>
      <c r="B46" s="711"/>
      <c r="C46" s="725"/>
      <c r="D46" s="725"/>
      <c r="E46" s="725"/>
      <c r="F46" s="726"/>
      <c r="G46" s="728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 t="s">
        <v>394</v>
      </c>
      <c r="S46" s="621"/>
      <c r="T46" s="633"/>
      <c r="U46" s="516"/>
    </row>
    <row r="47" spans="1:21" x14ac:dyDescent="0.25">
      <c r="A47" s="709"/>
      <c r="B47" s="711"/>
      <c r="C47" s="725"/>
      <c r="D47" s="725"/>
      <c r="E47" s="725"/>
      <c r="F47" s="726"/>
      <c r="G47" s="728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 t="s">
        <v>395</v>
      </c>
      <c r="S47" s="621"/>
      <c r="T47" s="633"/>
      <c r="U47" s="516"/>
    </row>
    <row r="48" spans="1:21" x14ac:dyDescent="0.25">
      <c r="A48" s="709"/>
      <c r="B48" s="711"/>
      <c r="C48" s="725"/>
      <c r="D48" s="725"/>
      <c r="E48" s="725"/>
      <c r="F48" s="726"/>
      <c r="G48" s="728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 t="s">
        <v>396</v>
      </c>
      <c r="S48" s="621"/>
      <c r="T48" s="633"/>
      <c r="U48" s="516"/>
    </row>
    <row r="49" spans="1:21" ht="14.4" thickBot="1" x14ac:dyDescent="0.3">
      <c r="A49" s="710"/>
      <c r="B49" s="652"/>
      <c r="C49" s="669"/>
      <c r="D49" s="669"/>
      <c r="E49" s="669"/>
      <c r="F49" s="659"/>
      <c r="G49" s="72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 t="s">
        <v>397</v>
      </c>
      <c r="S49" s="631"/>
      <c r="T49" s="634"/>
      <c r="U49" s="514"/>
    </row>
    <row r="50" spans="1:21" ht="36.6" thickBot="1" x14ac:dyDescent="0.3">
      <c r="A50" s="40" t="s">
        <v>398</v>
      </c>
      <c r="B50" s="23" t="s">
        <v>399</v>
      </c>
      <c r="C50" s="24">
        <v>0</v>
      </c>
      <c r="D50" s="24">
        <v>0.19600000000000001</v>
      </c>
      <c r="E50" s="24">
        <v>0.19600000000000001</v>
      </c>
      <c r="F50" s="25">
        <v>784</v>
      </c>
      <c r="G50" s="27" t="s">
        <v>368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>
        <v>70460090229</v>
      </c>
      <c r="S50" s="27" t="s">
        <v>349</v>
      </c>
      <c r="T50" s="3" t="s">
        <v>215</v>
      </c>
      <c r="U50" s="5" t="s">
        <v>67</v>
      </c>
    </row>
    <row r="51" spans="1:21" ht="36.6" thickBot="1" x14ac:dyDescent="0.3">
      <c r="A51" s="40" t="s">
        <v>400</v>
      </c>
      <c r="B51" s="23" t="s">
        <v>401</v>
      </c>
      <c r="C51" s="24">
        <v>0</v>
      </c>
      <c r="D51" s="24">
        <v>0.41</v>
      </c>
      <c r="E51" s="24">
        <v>0.41</v>
      </c>
      <c r="F51" s="25">
        <v>2457</v>
      </c>
      <c r="G51" s="27" t="s">
        <v>368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>
        <v>70460080297</v>
      </c>
      <c r="S51" s="27" t="s">
        <v>353</v>
      </c>
      <c r="T51" s="3" t="s">
        <v>215</v>
      </c>
      <c r="U51" s="5" t="s">
        <v>67</v>
      </c>
    </row>
    <row r="52" spans="1:21" ht="36.6" thickBot="1" x14ac:dyDescent="0.3">
      <c r="A52" s="40" t="s">
        <v>402</v>
      </c>
      <c r="B52" s="23" t="s">
        <v>403</v>
      </c>
      <c r="C52" s="24">
        <v>0</v>
      </c>
      <c r="D52" s="24">
        <v>0.3</v>
      </c>
      <c r="E52" s="24">
        <v>0.31</v>
      </c>
      <c r="F52" s="25">
        <v>1862</v>
      </c>
      <c r="G52" s="27" t="s">
        <v>368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>
        <v>70460080300</v>
      </c>
      <c r="S52" s="27" t="s">
        <v>353</v>
      </c>
      <c r="T52" s="3" t="s">
        <v>215</v>
      </c>
      <c r="U52" s="5" t="s">
        <v>67</v>
      </c>
    </row>
    <row r="53" spans="1:21" ht="36.6" thickBot="1" x14ac:dyDescent="0.3">
      <c r="A53" s="40" t="s">
        <v>404</v>
      </c>
      <c r="B53" s="23" t="s">
        <v>405</v>
      </c>
      <c r="C53" s="24">
        <v>0</v>
      </c>
      <c r="D53" s="24">
        <v>0.151</v>
      </c>
      <c r="E53" s="24">
        <v>0.151</v>
      </c>
      <c r="F53" s="25">
        <v>908</v>
      </c>
      <c r="G53" s="27" t="s">
        <v>368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>
        <v>70460080341</v>
      </c>
      <c r="S53" s="27" t="s">
        <v>353</v>
      </c>
      <c r="T53" s="3" t="s">
        <v>215</v>
      </c>
      <c r="U53" s="5" t="s">
        <v>67</v>
      </c>
    </row>
    <row r="54" spans="1:21" x14ac:dyDescent="0.25">
      <c r="A54" s="715" t="s">
        <v>406</v>
      </c>
      <c r="B54" s="651" t="s">
        <v>407</v>
      </c>
      <c r="C54" s="694">
        <v>0</v>
      </c>
      <c r="D54" s="694">
        <v>5.84</v>
      </c>
      <c r="E54" s="694">
        <v>5.84</v>
      </c>
      <c r="F54" s="723">
        <v>35629</v>
      </c>
      <c r="G54" s="662" t="s">
        <v>368</v>
      </c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4">
        <v>70460080297</v>
      </c>
      <c r="S54" s="640"/>
      <c r="T54" s="641" t="s">
        <v>215</v>
      </c>
      <c r="U54" s="515"/>
    </row>
    <row r="55" spans="1:21" x14ac:dyDescent="0.25">
      <c r="A55" s="709"/>
      <c r="B55" s="711"/>
      <c r="C55" s="695"/>
      <c r="D55" s="695"/>
      <c r="E55" s="695"/>
      <c r="F55" s="712"/>
      <c r="G55" s="714"/>
      <c r="H55" s="14"/>
      <c r="I55" s="14"/>
      <c r="J55" s="14"/>
      <c r="K55" s="14"/>
      <c r="L55" s="14"/>
      <c r="M55" s="14"/>
      <c r="N55" s="14"/>
      <c r="O55" s="9"/>
      <c r="P55" s="9"/>
      <c r="Q55" s="9"/>
      <c r="R55" s="9">
        <v>70460030039</v>
      </c>
      <c r="S55" s="621"/>
      <c r="T55" s="633"/>
      <c r="U55" s="516"/>
    </row>
    <row r="56" spans="1:21" ht="14.4" thickBot="1" x14ac:dyDescent="0.3">
      <c r="A56" s="710"/>
      <c r="B56" s="652"/>
      <c r="C56" s="696"/>
      <c r="D56" s="696"/>
      <c r="E56" s="696"/>
      <c r="F56" s="713"/>
      <c r="G56" s="663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>
        <v>70460010113</v>
      </c>
      <c r="S56" s="631"/>
      <c r="T56" s="634"/>
      <c r="U56" s="514"/>
    </row>
    <row r="57" spans="1:21" ht="36.6" customHeight="1" x14ac:dyDescent="0.25">
      <c r="A57" s="715" t="s">
        <v>408</v>
      </c>
      <c r="B57" s="651" t="s">
        <v>409</v>
      </c>
      <c r="C57" s="694">
        <v>0</v>
      </c>
      <c r="D57" s="694">
        <v>2.1829999999999998</v>
      </c>
      <c r="E57" s="694">
        <v>2.1829999999999998</v>
      </c>
      <c r="F57" s="723">
        <v>13098</v>
      </c>
      <c r="G57" s="727" t="s">
        <v>368</v>
      </c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95">
        <v>70460090322</v>
      </c>
      <c r="S57" s="640"/>
      <c r="T57" s="641" t="s">
        <v>215</v>
      </c>
      <c r="U57" s="664" t="s">
        <v>67</v>
      </c>
    </row>
    <row r="58" spans="1:21" x14ac:dyDescent="0.25">
      <c r="A58" s="709"/>
      <c r="B58" s="711"/>
      <c r="C58" s="695"/>
      <c r="D58" s="695"/>
      <c r="E58" s="695"/>
      <c r="F58" s="712"/>
      <c r="G58" s="728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>
        <v>70460090174</v>
      </c>
      <c r="S58" s="621"/>
      <c r="T58" s="633"/>
      <c r="U58" s="724"/>
    </row>
    <row r="59" spans="1:21" ht="14.4" thickBot="1" x14ac:dyDescent="0.3">
      <c r="A59" s="710"/>
      <c r="B59" s="652"/>
      <c r="C59" s="696"/>
      <c r="D59" s="696"/>
      <c r="E59" s="696"/>
      <c r="F59" s="713"/>
      <c r="G59" s="72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>
        <v>70460040093</v>
      </c>
      <c r="S59" s="631"/>
      <c r="T59" s="634"/>
      <c r="U59" s="665"/>
    </row>
    <row r="60" spans="1:21" ht="36.6" thickBot="1" x14ac:dyDescent="0.3">
      <c r="A60" s="40" t="s">
        <v>410</v>
      </c>
      <c r="B60" s="23" t="s">
        <v>411</v>
      </c>
      <c r="C60" s="41">
        <v>0</v>
      </c>
      <c r="D60" s="41">
        <v>0.34</v>
      </c>
      <c r="E60" s="41">
        <v>0.34</v>
      </c>
      <c r="F60" s="4">
        <v>2040</v>
      </c>
      <c r="G60" s="27" t="s">
        <v>368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>
        <v>70460080301</v>
      </c>
      <c r="S60" s="27"/>
      <c r="T60" s="3" t="s">
        <v>215</v>
      </c>
      <c r="U60" s="517"/>
    </row>
    <row r="61" spans="1:21" x14ac:dyDescent="0.25">
      <c r="A61" s="715" t="s">
        <v>412</v>
      </c>
      <c r="B61" s="651" t="s">
        <v>413</v>
      </c>
      <c r="C61" s="30">
        <v>0</v>
      </c>
      <c r="D61" s="30">
        <v>0.38900000000000001</v>
      </c>
      <c r="E61" s="668">
        <v>1.6559999999999999</v>
      </c>
      <c r="F61" s="658">
        <v>9934</v>
      </c>
      <c r="G61" s="727" t="s">
        <v>368</v>
      </c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 t="s">
        <v>414</v>
      </c>
      <c r="S61" s="640"/>
      <c r="T61" s="641" t="s">
        <v>215</v>
      </c>
      <c r="U61" s="515"/>
    </row>
    <row r="62" spans="1:21" x14ac:dyDescent="0.25">
      <c r="A62" s="709"/>
      <c r="B62" s="711"/>
      <c r="C62" s="10">
        <v>0.38900000000000001</v>
      </c>
      <c r="D62" s="10">
        <v>1.498</v>
      </c>
      <c r="E62" s="725"/>
      <c r="F62" s="726"/>
      <c r="G62" s="728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>
        <v>70460010118</v>
      </c>
      <c r="S62" s="621"/>
      <c r="T62" s="633"/>
      <c r="U62" s="516"/>
    </row>
    <row r="63" spans="1:21" ht="14.4" thickBot="1" x14ac:dyDescent="0.3">
      <c r="A63" s="710"/>
      <c r="B63" s="652"/>
      <c r="C63" s="16">
        <v>1.498</v>
      </c>
      <c r="D63" s="16">
        <v>1.6559999999999999</v>
      </c>
      <c r="E63" s="669"/>
      <c r="F63" s="659"/>
      <c r="G63" s="72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 t="s">
        <v>415</v>
      </c>
      <c r="S63" s="631"/>
      <c r="T63" s="634"/>
      <c r="U63" s="514"/>
    </row>
    <row r="64" spans="1:21" ht="36.6" thickBot="1" x14ac:dyDescent="0.3">
      <c r="A64" s="40" t="s">
        <v>416</v>
      </c>
      <c r="B64" s="23" t="s">
        <v>417</v>
      </c>
      <c r="C64" s="24">
        <v>0</v>
      </c>
      <c r="D64" s="24">
        <v>1.139</v>
      </c>
      <c r="E64" s="24">
        <v>1.139</v>
      </c>
      <c r="F64" s="25">
        <v>4556</v>
      </c>
      <c r="G64" s="27" t="s">
        <v>368</v>
      </c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>
        <v>70460090171</v>
      </c>
      <c r="S64" s="27"/>
      <c r="T64" s="3" t="s">
        <v>215</v>
      </c>
      <c r="U64" s="517"/>
    </row>
    <row r="65" spans="1:21" ht="14.4" customHeight="1" x14ac:dyDescent="0.25">
      <c r="A65" s="715" t="s">
        <v>418</v>
      </c>
      <c r="B65" s="651" t="s">
        <v>419</v>
      </c>
      <c r="C65" s="668">
        <v>0</v>
      </c>
      <c r="D65" s="668">
        <v>4.9210000000000003</v>
      </c>
      <c r="E65" s="668">
        <v>4.9210000000000003</v>
      </c>
      <c r="F65" s="723">
        <v>19683</v>
      </c>
      <c r="G65" s="727" t="s">
        <v>368</v>
      </c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>
        <v>70460020118</v>
      </c>
      <c r="S65" s="640"/>
      <c r="T65" s="641" t="s">
        <v>215</v>
      </c>
      <c r="U65" s="664" t="s">
        <v>67</v>
      </c>
    </row>
    <row r="66" spans="1:21" x14ac:dyDescent="0.25">
      <c r="A66" s="709"/>
      <c r="B66" s="711"/>
      <c r="C66" s="725"/>
      <c r="D66" s="725"/>
      <c r="E66" s="725"/>
      <c r="F66" s="712"/>
      <c r="G66" s="728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>
        <v>70460010111</v>
      </c>
      <c r="S66" s="621"/>
      <c r="T66" s="633"/>
      <c r="U66" s="724"/>
    </row>
    <row r="67" spans="1:21" x14ac:dyDescent="0.25">
      <c r="A67" s="709"/>
      <c r="B67" s="711"/>
      <c r="C67" s="725"/>
      <c r="D67" s="725"/>
      <c r="E67" s="725"/>
      <c r="F67" s="712"/>
      <c r="G67" s="728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 t="s">
        <v>420</v>
      </c>
      <c r="S67" s="621"/>
      <c r="T67" s="633"/>
      <c r="U67" s="724"/>
    </row>
    <row r="68" spans="1:21" x14ac:dyDescent="0.25">
      <c r="A68" s="709"/>
      <c r="B68" s="711"/>
      <c r="C68" s="725"/>
      <c r="D68" s="725"/>
      <c r="E68" s="725"/>
      <c r="F68" s="712"/>
      <c r="G68" s="728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>
        <v>70460010134</v>
      </c>
      <c r="S68" s="621"/>
      <c r="T68" s="633"/>
      <c r="U68" s="724"/>
    </row>
    <row r="69" spans="1:21" ht="14.4" thickBot="1" x14ac:dyDescent="0.3">
      <c r="A69" s="710"/>
      <c r="B69" s="652"/>
      <c r="C69" s="669"/>
      <c r="D69" s="669"/>
      <c r="E69" s="669"/>
      <c r="F69" s="713"/>
      <c r="G69" s="72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>
        <v>70960080067</v>
      </c>
      <c r="S69" s="19"/>
      <c r="T69" s="634"/>
      <c r="U69" s="665"/>
    </row>
    <row r="70" spans="1:21" ht="36.6" customHeight="1" x14ac:dyDescent="0.25">
      <c r="A70" s="715" t="s">
        <v>421</v>
      </c>
      <c r="B70" s="651" t="s">
        <v>422</v>
      </c>
      <c r="C70" s="668">
        <v>0</v>
      </c>
      <c r="D70" s="668">
        <v>7.4359999999999999</v>
      </c>
      <c r="E70" s="668">
        <v>7.4359999999999999</v>
      </c>
      <c r="F70" s="658">
        <v>29715</v>
      </c>
      <c r="G70" s="727" t="s">
        <v>368</v>
      </c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>
        <v>70460050057</v>
      </c>
      <c r="S70" s="640"/>
      <c r="T70" s="641" t="s">
        <v>215</v>
      </c>
      <c r="U70" s="664" t="s">
        <v>67</v>
      </c>
    </row>
    <row r="71" spans="1:21" x14ac:dyDescent="0.25">
      <c r="A71" s="709"/>
      <c r="B71" s="711"/>
      <c r="C71" s="725"/>
      <c r="D71" s="725"/>
      <c r="E71" s="725"/>
      <c r="F71" s="726"/>
      <c r="G71" s="728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>
        <v>70460060038</v>
      </c>
      <c r="S71" s="621"/>
      <c r="T71" s="633"/>
      <c r="U71" s="724"/>
    </row>
    <row r="72" spans="1:21" x14ac:dyDescent="0.25">
      <c r="A72" s="709"/>
      <c r="B72" s="711"/>
      <c r="C72" s="725"/>
      <c r="D72" s="725"/>
      <c r="E72" s="725"/>
      <c r="F72" s="726"/>
      <c r="G72" s="728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>
        <v>70460020143</v>
      </c>
      <c r="S72" s="621"/>
      <c r="T72" s="633"/>
      <c r="U72" s="724"/>
    </row>
    <row r="73" spans="1:21" x14ac:dyDescent="0.25">
      <c r="A73" s="709"/>
      <c r="B73" s="711"/>
      <c r="C73" s="725"/>
      <c r="D73" s="725"/>
      <c r="E73" s="725"/>
      <c r="F73" s="726"/>
      <c r="G73" s="728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>
        <v>70460020117</v>
      </c>
      <c r="S73" s="621"/>
      <c r="T73" s="633"/>
      <c r="U73" s="724"/>
    </row>
    <row r="74" spans="1:21" x14ac:dyDescent="0.25">
      <c r="A74" s="709"/>
      <c r="B74" s="711"/>
      <c r="C74" s="725"/>
      <c r="D74" s="725"/>
      <c r="E74" s="725"/>
      <c r="F74" s="726"/>
      <c r="G74" s="728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 t="s">
        <v>423</v>
      </c>
      <c r="S74" s="621"/>
      <c r="T74" s="633"/>
      <c r="U74" s="724"/>
    </row>
    <row r="75" spans="1:21" x14ac:dyDescent="0.25">
      <c r="A75" s="709"/>
      <c r="B75" s="711"/>
      <c r="C75" s="725"/>
      <c r="D75" s="725"/>
      <c r="E75" s="725"/>
      <c r="F75" s="726"/>
      <c r="G75" s="728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 t="s">
        <v>424</v>
      </c>
      <c r="S75" s="621"/>
      <c r="T75" s="633"/>
      <c r="U75" s="724"/>
    </row>
    <row r="76" spans="1:21" x14ac:dyDescent="0.25">
      <c r="A76" s="709"/>
      <c r="B76" s="711"/>
      <c r="C76" s="725"/>
      <c r="D76" s="725"/>
      <c r="E76" s="725"/>
      <c r="F76" s="726"/>
      <c r="G76" s="728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 t="s">
        <v>425</v>
      </c>
      <c r="S76" s="730"/>
      <c r="T76" s="731"/>
      <c r="U76" s="724"/>
    </row>
    <row r="77" spans="1:21" ht="14.4" thickBot="1" x14ac:dyDescent="0.3">
      <c r="A77" s="710"/>
      <c r="B77" s="652"/>
      <c r="C77" s="669"/>
      <c r="D77" s="669"/>
      <c r="E77" s="669"/>
      <c r="F77" s="659"/>
      <c r="G77" s="72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 t="s">
        <v>426</v>
      </c>
      <c r="S77" s="631"/>
      <c r="T77" s="634"/>
      <c r="U77" s="665"/>
    </row>
    <row r="78" spans="1:21" ht="36.6" thickBot="1" x14ac:dyDescent="0.3">
      <c r="A78" s="40" t="s">
        <v>427</v>
      </c>
      <c r="B78" s="23" t="s">
        <v>428</v>
      </c>
      <c r="C78" s="24">
        <v>0</v>
      </c>
      <c r="D78" s="24">
        <v>0.45300000000000001</v>
      </c>
      <c r="E78" s="24">
        <v>0.45300000000000001</v>
      </c>
      <c r="F78" s="25">
        <v>3423</v>
      </c>
      <c r="G78" s="27" t="s">
        <v>368</v>
      </c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5">
        <v>70460080438001</v>
      </c>
      <c r="S78" s="27"/>
      <c r="T78" s="3" t="s">
        <v>215</v>
      </c>
      <c r="U78" s="517"/>
    </row>
    <row r="79" spans="1:21" ht="36.6" thickBot="1" x14ac:dyDescent="0.3">
      <c r="A79" s="40" t="s">
        <v>429</v>
      </c>
      <c r="B79" s="23" t="s">
        <v>430</v>
      </c>
      <c r="C79" s="41">
        <v>0</v>
      </c>
      <c r="D79" s="24">
        <v>3.6339999999999999</v>
      </c>
      <c r="E79" s="24">
        <v>3.6339999999999999</v>
      </c>
      <c r="F79" s="25">
        <v>21820</v>
      </c>
      <c r="G79" s="27" t="s">
        <v>368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5">
        <v>70460010110001</v>
      </c>
      <c r="S79" s="27"/>
      <c r="T79" s="3" t="s">
        <v>215</v>
      </c>
      <c r="U79" s="517"/>
    </row>
    <row r="80" spans="1:21" ht="36.6" thickBot="1" x14ac:dyDescent="0.3">
      <c r="A80" s="40" t="s">
        <v>431</v>
      </c>
      <c r="B80" s="23" t="s">
        <v>432</v>
      </c>
      <c r="C80" s="41">
        <v>0</v>
      </c>
      <c r="D80" s="24">
        <v>2.1909999999999998</v>
      </c>
      <c r="E80" s="24">
        <v>2.1909999999999998</v>
      </c>
      <c r="F80" s="25">
        <v>14229</v>
      </c>
      <c r="G80" s="27" t="s">
        <v>368</v>
      </c>
      <c r="H80" s="27"/>
      <c r="I80" s="3"/>
      <c r="J80" s="27"/>
      <c r="K80" s="27"/>
      <c r="L80" s="27"/>
      <c r="M80" s="27"/>
      <c r="N80" s="27"/>
      <c r="O80" s="27"/>
      <c r="P80" s="27"/>
      <c r="Q80" s="27"/>
      <c r="R80" s="4">
        <v>70460010108001</v>
      </c>
      <c r="S80" s="27"/>
      <c r="T80" s="3" t="s">
        <v>215</v>
      </c>
      <c r="U80" s="517"/>
    </row>
    <row r="81" spans="1:21" ht="25.95" customHeight="1" x14ac:dyDescent="0.25">
      <c r="A81" s="715" t="s">
        <v>433</v>
      </c>
      <c r="B81" s="651" t="s">
        <v>434</v>
      </c>
      <c r="C81" s="43">
        <v>0</v>
      </c>
      <c r="D81" s="43">
        <v>0.59399999999999997</v>
      </c>
      <c r="E81" s="694">
        <v>0.71799999999999997</v>
      </c>
      <c r="F81" s="723">
        <v>2844</v>
      </c>
      <c r="G81" s="662" t="s">
        <v>368</v>
      </c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>
        <v>70460080300</v>
      </c>
      <c r="S81" s="640"/>
      <c r="T81" s="641" t="s">
        <v>215</v>
      </c>
      <c r="U81" s="515"/>
    </row>
    <row r="82" spans="1:21" ht="14.4" thickBot="1" x14ac:dyDescent="0.3">
      <c r="A82" s="710"/>
      <c r="B82" s="652"/>
      <c r="C82" s="46">
        <v>0.59399999999999997</v>
      </c>
      <c r="D82" s="46">
        <v>0.71799999999999997</v>
      </c>
      <c r="E82" s="696"/>
      <c r="F82" s="713"/>
      <c r="G82" s="663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>
        <v>70460080416</v>
      </c>
      <c r="S82" s="631"/>
      <c r="T82" s="634"/>
      <c r="U82" s="514"/>
    </row>
    <row r="83" spans="1:21" ht="14.4" customHeight="1" x14ac:dyDescent="0.25">
      <c r="A83" s="732" t="s">
        <v>435</v>
      </c>
      <c r="B83" s="651" t="s">
        <v>436</v>
      </c>
      <c r="C83" s="668">
        <v>0</v>
      </c>
      <c r="D83" s="668">
        <v>2.1230000000000002</v>
      </c>
      <c r="E83" s="668">
        <v>2.1230000000000002</v>
      </c>
      <c r="F83" s="658">
        <v>8492</v>
      </c>
      <c r="G83" s="727" t="s">
        <v>368</v>
      </c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>
        <v>70460090228</v>
      </c>
      <c r="S83" s="640"/>
      <c r="T83" s="641" t="s">
        <v>215</v>
      </c>
      <c r="U83" s="664" t="s">
        <v>67</v>
      </c>
    </row>
    <row r="84" spans="1:21" ht="14.4" customHeight="1" x14ac:dyDescent="0.25">
      <c r="A84" s="733"/>
      <c r="B84" s="711"/>
      <c r="C84" s="725"/>
      <c r="D84" s="725"/>
      <c r="E84" s="725"/>
      <c r="F84" s="726"/>
      <c r="G84" s="728"/>
      <c r="H84" s="8"/>
      <c r="I84" s="8"/>
      <c r="J84" s="8"/>
      <c r="K84" s="8"/>
      <c r="L84" s="8"/>
      <c r="M84" s="8"/>
      <c r="N84" s="8"/>
      <c r="O84" s="8"/>
      <c r="P84" s="8"/>
      <c r="Q84" s="8"/>
      <c r="R84" s="8" t="s">
        <v>437</v>
      </c>
      <c r="S84" s="620"/>
      <c r="T84" s="632"/>
      <c r="U84" s="724"/>
    </row>
    <row r="85" spans="1:21" x14ac:dyDescent="0.25">
      <c r="A85" s="733"/>
      <c r="B85" s="711"/>
      <c r="C85" s="725"/>
      <c r="D85" s="725"/>
      <c r="E85" s="725"/>
      <c r="F85" s="726"/>
      <c r="G85" s="728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 t="s">
        <v>438</v>
      </c>
      <c r="S85" s="621"/>
      <c r="T85" s="633"/>
      <c r="U85" s="724"/>
    </row>
    <row r="86" spans="1:21" x14ac:dyDescent="0.25">
      <c r="A86" s="733"/>
      <c r="B86" s="711"/>
      <c r="C86" s="725"/>
      <c r="D86" s="725"/>
      <c r="E86" s="725"/>
      <c r="F86" s="726"/>
      <c r="G86" s="728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 t="s">
        <v>439</v>
      </c>
      <c r="S86" s="621"/>
      <c r="T86" s="633"/>
      <c r="U86" s="724"/>
    </row>
    <row r="87" spans="1:21" x14ac:dyDescent="0.25">
      <c r="A87" s="733"/>
      <c r="B87" s="711"/>
      <c r="C87" s="725"/>
      <c r="D87" s="725"/>
      <c r="E87" s="725"/>
      <c r="F87" s="726"/>
      <c r="G87" s="728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 t="s">
        <v>440</v>
      </c>
      <c r="S87" s="621"/>
      <c r="T87" s="633"/>
      <c r="U87" s="724"/>
    </row>
    <row r="88" spans="1:21" ht="15.75" customHeight="1" x14ac:dyDescent="0.25">
      <c r="A88" s="733"/>
      <c r="B88" s="711"/>
      <c r="C88" s="725"/>
      <c r="D88" s="725"/>
      <c r="E88" s="725"/>
      <c r="F88" s="726"/>
      <c r="G88" s="728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3">
        <v>70460090227</v>
      </c>
      <c r="S88" s="621"/>
      <c r="T88" s="633"/>
      <c r="U88" s="724"/>
    </row>
    <row r="89" spans="1:21" ht="15.75" customHeight="1" x14ac:dyDescent="0.25">
      <c r="A89" s="733"/>
      <c r="B89" s="711"/>
      <c r="C89" s="725"/>
      <c r="D89" s="725"/>
      <c r="E89" s="725"/>
      <c r="F89" s="726"/>
      <c r="G89" s="728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3">
        <v>70460090308</v>
      </c>
      <c r="S89" s="621"/>
      <c r="T89" s="633"/>
      <c r="U89" s="724"/>
    </row>
    <row r="90" spans="1:21" ht="15.75" customHeight="1" x14ac:dyDescent="0.25">
      <c r="A90" s="733"/>
      <c r="B90" s="711"/>
      <c r="C90" s="725"/>
      <c r="D90" s="725"/>
      <c r="E90" s="725"/>
      <c r="F90" s="726"/>
      <c r="G90" s="728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96" t="s">
        <v>441</v>
      </c>
      <c r="S90" s="621"/>
      <c r="T90" s="633"/>
      <c r="U90" s="724"/>
    </row>
    <row r="91" spans="1:21" ht="15.75" customHeight="1" x14ac:dyDescent="0.25">
      <c r="A91" s="733"/>
      <c r="B91" s="711"/>
      <c r="C91" s="725"/>
      <c r="D91" s="725"/>
      <c r="E91" s="725"/>
      <c r="F91" s="726"/>
      <c r="G91" s="728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96" t="s">
        <v>442</v>
      </c>
      <c r="S91" s="621"/>
      <c r="T91" s="633"/>
      <c r="U91" s="724"/>
    </row>
    <row r="92" spans="1:21" ht="15.75" customHeight="1" x14ac:dyDescent="0.25">
      <c r="A92" s="733"/>
      <c r="B92" s="711"/>
      <c r="C92" s="725"/>
      <c r="D92" s="725"/>
      <c r="E92" s="725"/>
      <c r="F92" s="726"/>
      <c r="G92" s="728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96">
        <v>70460080348</v>
      </c>
      <c r="S92" s="621"/>
      <c r="T92" s="633"/>
      <c r="U92" s="724"/>
    </row>
    <row r="93" spans="1:21" ht="15.75" customHeight="1" x14ac:dyDescent="0.25">
      <c r="A93" s="733"/>
      <c r="B93" s="711"/>
      <c r="C93" s="725"/>
      <c r="D93" s="725"/>
      <c r="E93" s="725"/>
      <c r="F93" s="726"/>
      <c r="G93" s="728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96" t="s">
        <v>443</v>
      </c>
      <c r="S93" s="621"/>
      <c r="T93" s="633"/>
      <c r="U93" s="724"/>
    </row>
    <row r="94" spans="1:21" ht="15.75" customHeight="1" x14ac:dyDescent="0.25">
      <c r="A94" s="733"/>
      <c r="B94" s="711"/>
      <c r="C94" s="725"/>
      <c r="D94" s="725"/>
      <c r="E94" s="725"/>
      <c r="F94" s="726"/>
      <c r="G94" s="728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96" t="s">
        <v>444</v>
      </c>
      <c r="S94" s="621"/>
      <c r="T94" s="633"/>
      <c r="U94" s="724"/>
    </row>
    <row r="95" spans="1:21" ht="15.75" customHeight="1" x14ac:dyDescent="0.25">
      <c r="A95" s="733"/>
      <c r="B95" s="711"/>
      <c r="C95" s="725"/>
      <c r="D95" s="725"/>
      <c r="E95" s="725"/>
      <c r="F95" s="726"/>
      <c r="G95" s="728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7" t="s">
        <v>445</v>
      </c>
      <c r="S95" s="730"/>
      <c r="T95" s="731"/>
      <c r="U95" s="724"/>
    </row>
    <row r="96" spans="1:21" ht="15.75" customHeight="1" x14ac:dyDescent="0.25">
      <c r="A96" s="733"/>
      <c r="B96" s="711"/>
      <c r="C96" s="725"/>
      <c r="D96" s="725"/>
      <c r="E96" s="725"/>
      <c r="F96" s="726"/>
      <c r="G96" s="728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7" t="s">
        <v>446</v>
      </c>
      <c r="S96" s="730"/>
      <c r="T96" s="731"/>
      <c r="U96" s="724"/>
    </row>
    <row r="97" spans="1:21" ht="15.75" customHeight="1" thickBot="1" x14ac:dyDescent="0.3">
      <c r="A97" s="734"/>
      <c r="B97" s="652"/>
      <c r="C97" s="669"/>
      <c r="D97" s="669"/>
      <c r="E97" s="669"/>
      <c r="F97" s="659"/>
      <c r="G97" s="729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98" t="s">
        <v>447</v>
      </c>
      <c r="S97" s="631"/>
      <c r="T97" s="634"/>
      <c r="U97" s="665"/>
    </row>
    <row r="98" spans="1:21" ht="36" customHeight="1" thickBot="1" x14ac:dyDescent="0.3">
      <c r="A98" s="40" t="s">
        <v>448</v>
      </c>
      <c r="B98" s="23" t="s">
        <v>449</v>
      </c>
      <c r="C98" s="24">
        <v>0</v>
      </c>
      <c r="D98" s="24">
        <v>3.02</v>
      </c>
      <c r="E98" s="24">
        <v>3.02</v>
      </c>
      <c r="F98" s="25">
        <v>12081</v>
      </c>
      <c r="G98" s="27" t="s">
        <v>368</v>
      </c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>
        <v>70460040091</v>
      </c>
      <c r="S98" s="27"/>
      <c r="T98" s="3" t="s">
        <v>215</v>
      </c>
      <c r="U98" s="517"/>
    </row>
    <row r="99" spans="1:21" ht="14.4" customHeight="1" x14ac:dyDescent="0.25">
      <c r="A99" s="715" t="s">
        <v>450</v>
      </c>
      <c r="B99" s="651" t="s">
        <v>451</v>
      </c>
      <c r="C99" s="668">
        <v>0</v>
      </c>
      <c r="D99" s="668">
        <v>3.0720000000000001</v>
      </c>
      <c r="E99" s="668">
        <v>3.0720000000000001</v>
      </c>
      <c r="F99" s="658">
        <v>12286</v>
      </c>
      <c r="G99" s="727" t="s">
        <v>368</v>
      </c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 t="s">
        <v>452</v>
      </c>
      <c r="S99" s="727"/>
      <c r="T99" s="641" t="s">
        <v>215</v>
      </c>
      <c r="U99" s="642" t="s">
        <v>241</v>
      </c>
    </row>
    <row r="100" spans="1:21" ht="14.4" customHeight="1" x14ac:dyDescent="0.25">
      <c r="A100" s="709"/>
      <c r="B100" s="711"/>
      <c r="C100" s="725"/>
      <c r="D100" s="725"/>
      <c r="E100" s="725"/>
      <c r="F100" s="726"/>
      <c r="G100" s="72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 t="s">
        <v>453</v>
      </c>
      <c r="S100" s="728"/>
      <c r="T100" s="632"/>
      <c r="U100" s="635"/>
    </row>
    <row r="101" spans="1:21" x14ac:dyDescent="0.25">
      <c r="A101" s="709"/>
      <c r="B101" s="711"/>
      <c r="C101" s="725"/>
      <c r="D101" s="725"/>
      <c r="E101" s="725"/>
      <c r="F101" s="726"/>
      <c r="G101" s="728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 t="s">
        <v>454</v>
      </c>
      <c r="S101" s="728"/>
      <c r="T101" s="633"/>
      <c r="U101" s="636"/>
    </row>
    <row r="102" spans="1:21" x14ac:dyDescent="0.25">
      <c r="A102" s="709"/>
      <c r="B102" s="711"/>
      <c r="C102" s="725"/>
      <c r="D102" s="725"/>
      <c r="E102" s="725"/>
      <c r="F102" s="726"/>
      <c r="G102" s="728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>
        <v>70460020155</v>
      </c>
      <c r="S102" s="728"/>
      <c r="T102" s="633"/>
      <c r="U102" s="636"/>
    </row>
    <row r="103" spans="1:21" x14ac:dyDescent="0.25">
      <c r="A103" s="709"/>
      <c r="B103" s="711"/>
      <c r="C103" s="725"/>
      <c r="D103" s="725"/>
      <c r="E103" s="725"/>
      <c r="F103" s="726"/>
      <c r="G103" s="728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>
        <v>70460020151</v>
      </c>
      <c r="S103" s="728"/>
      <c r="T103" s="633"/>
      <c r="U103" s="636"/>
    </row>
    <row r="104" spans="1:21" x14ac:dyDescent="0.25">
      <c r="A104" s="709"/>
      <c r="B104" s="711"/>
      <c r="C104" s="725"/>
      <c r="D104" s="725"/>
      <c r="E104" s="725"/>
      <c r="F104" s="726"/>
      <c r="G104" s="728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 t="s">
        <v>455</v>
      </c>
      <c r="S104" s="728"/>
      <c r="T104" s="633"/>
      <c r="U104" s="636"/>
    </row>
    <row r="105" spans="1:21" x14ac:dyDescent="0.25">
      <c r="A105" s="709"/>
      <c r="B105" s="711"/>
      <c r="C105" s="725"/>
      <c r="D105" s="725"/>
      <c r="E105" s="725"/>
      <c r="F105" s="726"/>
      <c r="G105" s="728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 t="s">
        <v>456</v>
      </c>
      <c r="S105" s="728"/>
      <c r="T105" s="633"/>
      <c r="U105" s="636"/>
    </row>
    <row r="106" spans="1:21" x14ac:dyDescent="0.25">
      <c r="A106" s="709"/>
      <c r="B106" s="711"/>
      <c r="C106" s="725"/>
      <c r="D106" s="725"/>
      <c r="E106" s="725"/>
      <c r="F106" s="726"/>
      <c r="G106" s="728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 t="s">
        <v>457</v>
      </c>
      <c r="S106" s="728"/>
      <c r="T106" s="633"/>
      <c r="U106" s="636"/>
    </row>
    <row r="107" spans="1:21" x14ac:dyDescent="0.25">
      <c r="A107" s="709"/>
      <c r="B107" s="711"/>
      <c r="C107" s="725"/>
      <c r="D107" s="725"/>
      <c r="E107" s="725"/>
      <c r="F107" s="726"/>
      <c r="G107" s="728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 t="s">
        <v>458</v>
      </c>
      <c r="S107" s="728"/>
      <c r="T107" s="633"/>
      <c r="U107" s="636"/>
    </row>
    <row r="108" spans="1:21" x14ac:dyDescent="0.25">
      <c r="A108" s="709"/>
      <c r="B108" s="711"/>
      <c r="C108" s="725"/>
      <c r="D108" s="725"/>
      <c r="E108" s="725"/>
      <c r="F108" s="726"/>
      <c r="G108" s="728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>
        <v>70460020144</v>
      </c>
      <c r="S108" s="728"/>
      <c r="T108" s="633"/>
      <c r="U108" s="636"/>
    </row>
    <row r="109" spans="1:21" x14ac:dyDescent="0.25">
      <c r="A109" s="709"/>
      <c r="B109" s="711"/>
      <c r="C109" s="725"/>
      <c r="D109" s="725"/>
      <c r="E109" s="725"/>
      <c r="F109" s="726"/>
      <c r="G109" s="728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 t="s">
        <v>458</v>
      </c>
      <c r="S109" s="728"/>
      <c r="T109" s="633"/>
      <c r="U109" s="636"/>
    </row>
    <row r="110" spans="1:21" x14ac:dyDescent="0.25">
      <c r="A110" s="709"/>
      <c r="B110" s="711"/>
      <c r="C110" s="725"/>
      <c r="D110" s="725"/>
      <c r="E110" s="725"/>
      <c r="F110" s="726"/>
      <c r="G110" s="728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 t="s">
        <v>456</v>
      </c>
      <c r="S110" s="728"/>
      <c r="T110" s="633"/>
      <c r="U110" s="636"/>
    </row>
    <row r="111" spans="1:21" x14ac:dyDescent="0.25">
      <c r="A111" s="709"/>
      <c r="B111" s="711"/>
      <c r="C111" s="725"/>
      <c r="D111" s="725"/>
      <c r="E111" s="725"/>
      <c r="F111" s="726"/>
      <c r="G111" s="728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>
        <v>70460020149</v>
      </c>
      <c r="S111" s="728"/>
      <c r="T111" s="633"/>
      <c r="U111" s="636"/>
    </row>
    <row r="112" spans="1:21" x14ac:dyDescent="0.25">
      <c r="A112" s="709"/>
      <c r="B112" s="711"/>
      <c r="C112" s="725"/>
      <c r="D112" s="725"/>
      <c r="E112" s="725"/>
      <c r="F112" s="726"/>
      <c r="G112" s="728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>
        <v>70960080064</v>
      </c>
      <c r="S112" s="728"/>
      <c r="T112" s="633"/>
      <c r="U112" s="636"/>
    </row>
    <row r="113" spans="1:23" ht="14.4" thickBot="1" x14ac:dyDescent="0.3">
      <c r="A113" s="710"/>
      <c r="B113" s="652"/>
      <c r="C113" s="669"/>
      <c r="D113" s="669"/>
      <c r="E113" s="669"/>
      <c r="F113" s="659"/>
      <c r="G113" s="72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 t="s">
        <v>459</v>
      </c>
      <c r="S113" s="729"/>
      <c r="T113" s="634"/>
      <c r="U113" s="637"/>
    </row>
    <row r="114" spans="1:23" x14ac:dyDescent="0.25">
      <c r="A114" s="715" t="s">
        <v>460</v>
      </c>
      <c r="B114" s="651" t="s">
        <v>461</v>
      </c>
      <c r="C114" s="668">
        <v>0</v>
      </c>
      <c r="D114" s="668">
        <v>1.9370000000000001</v>
      </c>
      <c r="E114" s="668">
        <v>1.9370000000000001</v>
      </c>
      <c r="F114" s="658">
        <v>7748</v>
      </c>
      <c r="G114" s="727" t="s">
        <v>368</v>
      </c>
      <c r="H114" s="34"/>
      <c r="I114" s="34"/>
      <c r="J114" s="33"/>
      <c r="K114" s="34"/>
      <c r="L114" s="34"/>
      <c r="M114" s="34"/>
      <c r="N114" s="34"/>
      <c r="O114" s="34"/>
      <c r="P114" s="34"/>
      <c r="Q114" s="34"/>
      <c r="R114" s="95">
        <v>70460080347</v>
      </c>
      <c r="S114" s="640"/>
      <c r="T114" s="641" t="s">
        <v>215</v>
      </c>
      <c r="U114" s="515"/>
    </row>
    <row r="115" spans="1:23" x14ac:dyDescent="0.25">
      <c r="A115" s="709"/>
      <c r="B115" s="711"/>
      <c r="C115" s="725"/>
      <c r="D115" s="725"/>
      <c r="E115" s="725"/>
      <c r="F115" s="726"/>
      <c r="G115" s="728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 t="s">
        <v>462</v>
      </c>
      <c r="S115" s="621"/>
      <c r="T115" s="633"/>
      <c r="U115" s="516"/>
    </row>
    <row r="116" spans="1:23" ht="24" x14ac:dyDescent="0.25">
      <c r="A116" s="709"/>
      <c r="B116" s="711"/>
      <c r="C116" s="725"/>
      <c r="D116" s="725"/>
      <c r="E116" s="725"/>
      <c r="F116" s="726"/>
      <c r="G116" s="728"/>
      <c r="H116" s="13"/>
      <c r="I116" s="13"/>
      <c r="J116" s="14" t="s">
        <v>463</v>
      </c>
      <c r="K116" s="13">
        <v>20</v>
      </c>
      <c r="L116" s="13">
        <v>126</v>
      </c>
      <c r="M116" s="13"/>
      <c r="N116" s="13"/>
      <c r="O116" s="13" t="s">
        <v>464</v>
      </c>
      <c r="P116" s="13"/>
      <c r="Q116" s="13"/>
      <c r="R116" s="13" t="s">
        <v>465</v>
      </c>
      <c r="S116" s="621"/>
      <c r="T116" s="633"/>
      <c r="U116" s="516"/>
    </row>
    <row r="117" spans="1:23" x14ac:dyDescent="0.25">
      <c r="A117" s="709"/>
      <c r="B117" s="711"/>
      <c r="C117" s="725"/>
      <c r="D117" s="725"/>
      <c r="E117" s="725"/>
      <c r="F117" s="726"/>
      <c r="G117" s="728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 t="s">
        <v>466</v>
      </c>
      <c r="S117" s="621"/>
      <c r="T117" s="633"/>
      <c r="U117" s="516"/>
    </row>
    <row r="118" spans="1:23" ht="14.4" thickBot="1" x14ac:dyDescent="0.3">
      <c r="A118" s="710"/>
      <c r="B118" s="652"/>
      <c r="C118" s="669"/>
      <c r="D118" s="669"/>
      <c r="E118" s="669"/>
      <c r="F118" s="659"/>
      <c r="G118" s="72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>
        <v>70460080340</v>
      </c>
      <c r="S118" s="631"/>
      <c r="T118" s="634"/>
      <c r="U118" s="514"/>
      <c r="W118" s="99"/>
    </row>
    <row r="119" spans="1:23" ht="15.75" customHeight="1" x14ac:dyDescent="0.25">
      <c r="A119" s="715" t="s">
        <v>467</v>
      </c>
      <c r="B119" s="651" t="s">
        <v>468</v>
      </c>
      <c r="C119" s="694">
        <v>0</v>
      </c>
      <c r="D119" s="694">
        <v>1.9059999999999999</v>
      </c>
      <c r="E119" s="694">
        <v>1.9059999999999999</v>
      </c>
      <c r="F119" s="723">
        <v>7623</v>
      </c>
      <c r="G119" s="662" t="s">
        <v>368</v>
      </c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4">
        <v>70460070097</v>
      </c>
      <c r="S119" s="640"/>
      <c r="T119" s="641" t="s">
        <v>215</v>
      </c>
      <c r="U119" s="515"/>
    </row>
    <row r="120" spans="1:23" ht="15.75" customHeight="1" x14ac:dyDescent="0.25">
      <c r="A120" s="709"/>
      <c r="B120" s="711"/>
      <c r="C120" s="695"/>
      <c r="D120" s="695"/>
      <c r="E120" s="695"/>
      <c r="F120" s="712"/>
      <c r="G120" s="7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3" t="s">
        <v>469</v>
      </c>
      <c r="S120" s="621"/>
      <c r="T120" s="633"/>
      <c r="U120" s="516"/>
    </row>
    <row r="121" spans="1:23" ht="15.75" customHeight="1" x14ac:dyDescent="0.25">
      <c r="A121" s="709"/>
      <c r="B121" s="711"/>
      <c r="C121" s="695"/>
      <c r="D121" s="695"/>
      <c r="E121" s="695"/>
      <c r="F121" s="712"/>
      <c r="G121" s="7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>
        <v>70460070098</v>
      </c>
      <c r="S121" s="621"/>
      <c r="T121" s="633"/>
      <c r="U121" s="516"/>
    </row>
    <row r="122" spans="1:23" ht="15.75" customHeight="1" x14ac:dyDescent="0.25">
      <c r="A122" s="709"/>
      <c r="B122" s="711"/>
      <c r="C122" s="695"/>
      <c r="D122" s="695"/>
      <c r="E122" s="695"/>
      <c r="F122" s="712"/>
      <c r="G122" s="7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3" t="s">
        <v>470</v>
      </c>
      <c r="S122" s="621"/>
      <c r="T122" s="633"/>
      <c r="U122" s="516"/>
    </row>
    <row r="123" spans="1:23" ht="15.75" customHeight="1" thickBot="1" x14ac:dyDescent="0.3">
      <c r="A123" s="710"/>
      <c r="B123" s="652"/>
      <c r="C123" s="696"/>
      <c r="D123" s="696"/>
      <c r="E123" s="696"/>
      <c r="F123" s="713"/>
      <c r="G123" s="663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19" t="s">
        <v>471</v>
      </c>
      <c r="S123" s="631"/>
      <c r="T123" s="634"/>
      <c r="U123" s="514"/>
    </row>
    <row r="124" spans="1:23" x14ac:dyDescent="0.25">
      <c r="A124" s="715" t="s">
        <v>472</v>
      </c>
      <c r="B124" s="651" t="s">
        <v>473</v>
      </c>
      <c r="C124" s="694">
        <v>0</v>
      </c>
      <c r="D124" s="694">
        <v>1.677</v>
      </c>
      <c r="E124" s="694">
        <v>1.677</v>
      </c>
      <c r="F124" s="723">
        <v>6706</v>
      </c>
      <c r="G124" s="662" t="s">
        <v>368</v>
      </c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3">
        <v>70460030039</v>
      </c>
      <c r="S124" s="640"/>
      <c r="T124" s="641" t="s">
        <v>215</v>
      </c>
      <c r="U124" s="642" t="s">
        <v>241</v>
      </c>
    </row>
    <row r="125" spans="1:23" x14ac:dyDescent="0.25">
      <c r="A125" s="709"/>
      <c r="B125" s="711"/>
      <c r="C125" s="695"/>
      <c r="D125" s="695"/>
      <c r="E125" s="695"/>
      <c r="F125" s="712"/>
      <c r="G125" s="714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 t="s">
        <v>474</v>
      </c>
      <c r="S125" s="621"/>
      <c r="T125" s="633"/>
      <c r="U125" s="635"/>
    </row>
    <row r="126" spans="1:23" x14ac:dyDescent="0.25">
      <c r="A126" s="709"/>
      <c r="B126" s="711"/>
      <c r="C126" s="695"/>
      <c r="D126" s="695"/>
      <c r="E126" s="695"/>
      <c r="F126" s="712"/>
      <c r="G126" s="714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 t="s">
        <v>475</v>
      </c>
      <c r="S126" s="621"/>
      <c r="T126" s="633"/>
      <c r="U126" s="636"/>
    </row>
    <row r="127" spans="1:23" x14ac:dyDescent="0.25">
      <c r="A127" s="709"/>
      <c r="B127" s="711"/>
      <c r="C127" s="695"/>
      <c r="D127" s="695"/>
      <c r="E127" s="695"/>
      <c r="F127" s="712"/>
      <c r="G127" s="714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 t="s">
        <v>476</v>
      </c>
      <c r="S127" s="621"/>
      <c r="T127" s="633"/>
      <c r="U127" s="636"/>
    </row>
    <row r="128" spans="1:23" x14ac:dyDescent="0.25">
      <c r="A128" s="709"/>
      <c r="B128" s="711"/>
      <c r="C128" s="695"/>
      <c r="D128" s="695"/>
      <c r="E128" s="695"/>
      <c r="F128" s="712"/>
      <c r="G128" s="714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 t="s">
        <v>477</v>
      </c>
      <c r="S128" s="621"/>
      <c r="T128" s="633"/>
      <c r="U128" s="636"/>
    </row>
    <row r="129" spans="1:23" x14ac:dyDescent="0.25">
      <c r="A129" s="709"/>
      <c r="B129" s="711"/>
      <c r="C129" s="695"/>
      <c r="D129" s="695"/>
      <c r="E129" s="695"/>
      <c r="F129" s="712"/>
      <c r="G129" s="714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 t="s">
        <v>478</v>
      </c>
      <c r="S129" s="621"/>
      <c r="T129" s="633"/>
      <c r="U129" s="636"/>
    </row>
    <row r="130" spans="1:23" x14ac:dyDescent="0.25">
      <c r="A130" s="709"/>
      <c r="B130" s="711"/>
      <c r="C130" s="695"/>
      <c r="D130" s="695"/>
      <c r="E130" s="695"/>
      <c r="F130" s="712"/>
      <c r="G130" s="714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>
        <v>70460030054</v>
      </c>
      <c r="S130" s="621"/>
      <c r="T130" s="633"/>
      <c r="U130" s="636"/>
    </row>
    <row r="131" spans="1:23" x14ac:dyDescent="0.25">
      <c r="A131" s="709"/>
      <c r="B131" s="711"/>
      <c r="C131" s="695"/>
      <c r="D131" s="695"/>
      <c r="E131" s="695"/>
      <c r="F131" s="712"/>
      <c r="G131" s="714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 t="s">
        <v>479</v>
      </c>
      <c r="S131" s="621"/>
      <c r="T131" s="633"/>
      <c r="U131" s="636"/>
    </row>
    <row r="132" spans="1:23" ht="14.4" thickBot="1" x14ac:dyDescent="0.3">
      <c r="A132" s="710"/>
      <c r="B132" s="652"/>
      <c r="C132" s="696"/>
      <c r="D132" s="696"/>
      <c r="E132" s="696"/>
      <c r="F132" s="713"/>
      <c r="G132" s="663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 t="s">
        <v>480</v>
      </c>
      <c r="S132" s="631"/>
      <c r="T132" s="634"/>
      <c r="U132" s="636"/>
      <c r="W132" s="99"/>
    </row>
    <row r="133" spans="1:23" x14ac:dyDescent="0.25">
      <c r="A133" s="715" t="s">
        <v>481</v>
      </c>
      <c r="B133" s="651" t="s">
        <v>482</v>
      </c>
      <c r="C133" s="694">
        <v>0</v>
      </c>
      <c r="D133" s="694">
        <v>0.95699999999999996</v>
      </c>
      <c r="E133" s="694">
        <v>0.95699999999999996</v>
      </c>
      <c r="F133" s="723">
        <v>3827</v>
      </c>
      <c r="G133" s="662" t="s">
        <v>368</v>
      </c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 t="s">
        <v>446</v>
      </c>
      <c r="S133" s="735"/>
      <c r="T133" s="641" t="s">
        <v>215</v>
      </c>
      <c r="U133" s="515"/>
    </row>
    <row r="134" spans="1:23" x14ac:dyDescent="0.25">
      <c r="A134" s="709"/>
      <c r="B134" s="711"/>
      <c r="C134" s="695"/>
      <c r="D134" s="695"/>
      <c r="E134" s="695"/>
      <c r="F134" s="712"/>
      <c r="G134" s="714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 t="s">
        <v>483</v>
      </c>
      <c r="S134" s="736"/>
      <c r="T134" s="633"/>
      <c r="U134" s="516"/>
    </row>
    <row r="135" spans="1:23" x14ac:dyDescent="0.25">
      <c r="A135" s="709"/>
      <c r="B135" s="711"/>
      <c r="C135" s="695"/>
      <c r="D135" s="695"/>
      <c r="E135" s="695"/>
      <c r="F135" s="712"/>
      <c r="G135" s="714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>
        <v>70460080345</v>
      </c>
      <c r="S135" s="736"/>
      <c r="T135" s="633"/>
      <c r="U135" s="516"/>
    </row>
    <row r="136" spans="1:23" x14ac:dyDescent="0.25">
      <c r="A136" s="709"/>
      <c r="B136" s="711"/>
      <c r="C136" s="695"/>
      <c r="D136" s="695"/>
      <c r="E136" s="695"/>
      <c r="F136" s="712"/>
      <c r="G136" s="714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 t="s">
        <v>484</v>
      </c>
      <c r="S136" s="736"/>
      <c r="T136" s="633"/>
      <c r="U136" s="516"/>
    </row>
    <row r="137" spans="1:23" x14ac:dyDescent="0.25">
      <c r="A137" s="709"/>
      <c r="B137" s="711"/>
      <c r="C137" s="695"/>
      <c r="D137" s="695"/>
      <c r="E137" s="695"/>
      <c r="F137" s="712"/>
      <c r="G137" s="714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 t="s">
        <v>485</v>
      </c>
      <c r="S137" s="736"/>
      <c r="T137" s="633"/>
      <c r="U137" s="516"/>
    </row>
    <row r="138" spans="1:23" ht="14.4" thickBot="1" x14ac:dyDescent="0.3">
      <c r="A138" s="710"/>
      <c r="B138" s="652"/>
      <c r="C138" s="696"/>
      <c r="D138" s="696"/>
      <c r="E138" s="696"/>
      <c r="F138" s="713"/>
      <c r="G138" s="663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 t="s">
        <v>486</v>
      </c>
      <c r="S138" s="737"/>
      <c r="T138" s="634"/>
      <c r="U138" s="514"/>
    </row>
    <row r="139" spans="1:23" ht="24.6" customHeight="1" x14ac:dyDescent="0.25">
      <c r="A139" s="715" t="s">
        <v>487</v>
      </c>
      <c r="B139" s="651" t="s">
        <v>488</v>
      </c>
      <c r="C139" s="43">
        <v>0</v>
      </c>
      <c r="D139" s="43">
        <v>0.48499999999999999</v>
      </c>
      <c r="E139" s="694">
        <v>0.501</v>
      </c>
      <c r="F139" s="723">
        <v>2003</v>
      </c>
      <c r="G139" s="662" t="s">
        <v>368</v>
      </c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>
        <v>70460090176</v>
      </c>
      <c r="S139" s="738"/>
      <c r="T139" s="641" t="s">
        <v>215</v>
      </c>
      <c r="U139" s="515"/>
    </row>
    <row r="140" spans="1:23" ht="14.4" thickBot="1" x14ac:dyDescent="0.3">
      <c r="A140" s="710"/>
      <c r="B140" s="652"/>
      <c r="C140" s="46">
        <v>0.48499999999999999</v>
      </c>
      <c r="D140" s="46">
        <v>0.501</v>
      </c>
      <c r="E140" s="696"/>
      <c r="F140" s="713"/>
      <c r="G140" s="663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 t="s">
        <v>489</v>
      </c>
      <c r="S140" s="631"/>
      <c r="T140" s="634"/>
      <c r="U140" s="514"/>
    </row>
    <row r="141" spans="1:23" x14ac:dyDescent="0.25">
      <c r="A141" s="715" t="s">
        <v>490</v>
      </c>
      <c r="B141" s="651" t="s">
        <v>491</v>
      </c>
      <c r="C141" s="668">
        <v>0</v>
      </c>
      <c r="D141" s="668">
        <v>0.72199999999999998</v>
      </c>
      <c r="E141" s="668">
        <v>0.72199999999999998</v>
      </c>
      <c r="F141" s="723">
        <v>2889</v>
      </c>
      <c r="G141" s="662" t="s">
        <v>368</v>
      </c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>
        <v>70460080342</v>
      </c>
      <c r="S141" s="738"/>
      <c r="T141" s="641" t="s">
        <v>215</v>
      </c>
      <c r="U141" s="515"/>
    </row>
    <row r="142" spans="1:23" x14ac:dyDescent="0.25">
      <c r="A142" s="709"/>
      <c r="B142" s="711"/>
      <c r="C142" s="725"/>
      <c r="D142" s="725"/>
      <c r="E142" s="725"/>
      <c r="F142" s="712"/>
      <c r="G142" s="714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 t="s">
        <v>492</v>
      </c>
      <c r="S142" s="621"/>
      <c r="T142" s="633"/>
      <c r="U142" s="516"/>
    </row>
    <row r="143" spans="1:23" ht="14.4" thickBot="1" x14ac:dyDescent="0.3">
      <c r="A143" s="710"/>
      <c r="B143" s="652"/>
      <c r="C143" s="669"/>
      <c r="D143" s="669"/>
      <c r="E143" s="669"/>
      <c r="F143" s="713"/>
      <c r="G143" s="663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 t="s">
        <v>493</v>
      </c>
      <c r="S143" s="631"/>
      <c r="T143" s="634"/>
      <c r="U143" s="514"/>
    </row>
    <row r="144" spans="1:23" x14ac:dyDescent="0.25">
      <c r="A144" s="715" t="s">
        <v>494</v>
      </c>
      <c r="B144" s="651" t="s">
        <v>495</v>
      </c>
      <c r="C144" s="30">
        <v>0</v>
      </c>
      <c r="D144" s="30">
        <v>0.36</v>
      </c>
      <c r="E144" s="668">
        <v>1.0640000000000001</v>
      </c>
      <c r="F144" s="658">
        <v>4257</v>
      </c>
      <c r="G144" s="662" t="s">
        <v>368</v>
      </c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 t="s">
        <v>496</v>
      </c>
      <c r="S144" s="738"/>
      <c r="T144" s="641" t="s">
        <v>215</v>
      </c>
      <c r="U144" s="515"/>
    </row>
    <row r="145" spans="1:21" x14ac:dyDescent="0.25">
      <c r="A145" s="709"/>
      <c r="B145" s="711"/>
      <c r="C145" s="10">
        <v>0.36</v>
      </c>
      <c r="D145" s="10">
        <v>0.57999999999999996</v>
      </c>
      <c r="E145" s="725"/>
      <c r="F145" s="726"/>
      <c r="G145" s="714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 t="s">
        <v>497</v>
      </c>
      <c r="S145" s="621"/>
      <c r="T145" s="633"/>
      <c r="U145" s="516"/>
    </row>
    <row r="146" spans="1:21" x14ac:dyDescent="0.25">
      <c r="A146" s="709"/>
      <c r="B146" s="711"/>
      <c r="C146" s="10">
        <v>0.57999999999999996</v>
      </c>
      <c r="D146" s="10">
        <v>0.86</v>
      </c>
      <c r="E146" s="725"/>
      <c r="F146" s="726"/>
      <c r="G146" s="714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 t="s">
        <v>498</v>
      </c>
      <c r="S146" s="621"/>
      <c r="T146" s="633"/>
      <c r="U146" s="516"/>
    </row>
    <row r="147" spans="1:21" ht="14.4" thickBot="1" x14ac:dyDescent="0.3">
      <c r="A147" s="710"/>
      <c r="B147" s="652"/>
      <c r="C147" s="16">
        <v>0.86</v>
      </c>
      <c r="D147" s="16">
        <v>1.0640000000000001</v>
      </c>
      <c r="E147" s="669"/>
      <c r="F147" s="659"/>
      <c r="G147" s="663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 t="s">
        <v>499</v>
      </c>
      <c r="S147" s="631"/>
      <c r="T147" s="634"/>
      <c r="U147" s="514"/>
    </row>
    <row r="148" spans="1:21" x14ac:dyDescent="0.25">
      <c r="A148" s="715" t="s">
        <v>500</v>
      </c>
      <c r="B148" s="651" t="s">
        <v>501</v>
      </c>
      <c r="C148" s="668">
        <v>0</v>
      </c>
      <c r="D148" s="668">
        <v>1.413</v>
      </c>
      <c r="E148" s="668">
        <v>1.413</v>
      </c>
      <c r="F148" s="658">
        <v>5652</v>
      </c>
      <c r="G148" s="662" t="s">
        <v>368</v>
      </c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 t="s">
        <v>502</v>
      </c>
      <c r="S148" s="738"/>
      <c r="T148" s="641" t="s">
        <v>215</v>
      </c>
      <c r="U148" s="515"/>
    </row>
    <row r="149" spans="1:21" x14ac:dyDescent="0.25">
      <c r="A149" s="709"/>
      <c r="B149" s="711"/>
      <c r="C149" s="725"/>
      <c r="D149" s="725"/>
      <c r="E149" s="725"/>
      <c r="F149" s="726"/>
      <c r="G149" s="714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 t="s">
        <v>503</v>
      </c>
      <c r="S149" s="739"/>
      <c r="T149" s="632"/>
      <c r="U149" s="513"/>
    </row>
    <row r="150" spans="1:21" x14ac:dyDescent="0.25">
      <c r="A150" s="709"/>
      <c r="B150" s="711"/>
      <c r="C150" s="725"/>
      <c r="D150" s="725"/>
      <c r="E150" s="725"/>
      <c r="F150" s="726"/>
      <c r="G150" s="714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 t="s">
        <v>504</v>
      </c>
      <c r="S150" s="621"/>
      <c r="T150" s="633"/>
      <c r="U150" s="516"/>
    </row>
    <row r="151" spans="1:21" x14ac:dyDescent="0.25">
      <c r="A151" s="709"/>
      <c r="B151" s="711"/>
      <c r="C151" s="725"/>
      <c r="D151" s="725"/>
      <c r="E151" s="725"/>
      <c r="F151" s="726"/>
      <c r="G151" s="714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 t="s">
        <v>505</v>
      </c>
      <c r="S151" s="621"/>
      <c r="T151" s="633"/>
      <c r="U151" s="516"/>
    </row>
    <row r="152" spans="1:21" x14ac:dyDescent="0.25">
      <c r="A152" s="709"/>
      <c r="B152" s="711"/>
      <c r="C152" s="725"/>
      <c r="D152" s="725"/>
      <c r="E152" s="725"/>
      <c r="F152" s="726"/>
      <c r="G152" s="714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>
        <v>70460080455</v>
      </c>
      <c r="S152" s="621"/>
      <c r="T152" s="633"/>
      <c r="U152" s="516"/>
    </row>
    <row r="153" spans="1:21" ht="14.4" thickBot="1" x14ac:dyDescent="0.3">
      <c r="A153" s="710"/>
      <c r="B153" s="652"/>
      <c r="C153" s="669"/>
      <c r="D153" s="669"/>
      <c r="E153" s="669"/>
      <c r="F153" s="659"/>
      <c r="G153" s="663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 t="s">
        <v>506</v>
      </c>
      <c r="S153" s="631"/>
      <c r="T153" s="634"/>
      <c r="U153" s="514"/>
    </row>
    <row r="154" spans="1:21" x14ac:dyDescent="0.25">
      <c r="A154" s="715" t="s">
        <v>507</v>
      </c>
      <c r="B154" s="651" t="s">
        <v>508</v>
      </c>
      <c r="C154" s="30">
        <v>0</v>
      </c>
      <c r="D154" s="30">
        <v>0.23</v>
      </c>
      <c r="E154" s="668">
        <v>1.1499999999999999</v>
      </c>
      <c r="F154" s="658">
        <v>4600</v>
      </c>
      <c r="G154" s="662" t="s">
        <v>368</v>
      </c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 t="s">
        <v>509</v>
      </c>
      <c r="S154" s="738"/>
      <c r="T154" s="641" t="s">
        <v>215</v>
      </c>
      <c r="U154" s="515"/>
    </row>
    <row r="155" spans="1:21" x14ac:dyDescent="0.25">
      <c r="A155" s="709"/>
      <c r="B155" s="711"/>
      <c r="C155" s="10">
        <v>0.23</v>
      </c>
      <c r="D155" s="10">
        <v>0.41</v>
      </c>
      <c r="E155" s="725"/>
      <c r="F155" s="726"/>
      <c r="G155" s="714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 t="s">
        <v>510</v>
      </c>
      <c r="S155" s="621"/>
      <c r="T155" s="633"/>
      <c r="U155" s="516"/>
    </row>
    <row r="156" spans="1:21" x14ac:dyDescent="0.25">
      <c r="A156" s="709"/>
      <c r="B156" s="711"/>
      <c r="C156" s="10">
        <v>0.41</v>
      </c>
      <c r="D156" s="10">
        <v>0.85299999999999998</v>
      </c>
      <c r="E156" s="725"/>
      <c r="F156" s="726"/>
      <c r="G156" s="714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 t="s">
        <v>511</v>
      </c>
      <c r="S156" s="621"/>
      <c r="T156" s="633"/>
      <c r="U156" s="516"/>
    </row>
    <row r="157" spans="1:21" x14ac:dyDescent="0.25">
      <c r="A157" s="709"/>
      <c r="B157" s="711"/>
      <c r="C157" s="10">
        <v>0.85299999999999998</v>
      </c>
      <c r="D157" s="10">
        <v>1.0169999999999999</v>
      </c>
      <c r="E157" s="725"/>
      <c r="F157" s="726"/>
      <c r="G157" s="714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 t="s">
        <v>512</v>
      </c>
      <c r="S157" s="621"/>
      <c r="T157" s="633"/>
      <c r="U157" s="516"/>
    </row>
    <row r="158" spans="1:21" ht="14.4" thickBot="1" x14ac:dyDescent="0.3">
      <c r="A158" s="710"/>
      <c r="B158" s="652"/>
      <c r="C158" s="16">
        <v>1.0169999999999999</v>
      </c>
      <c r="D158" s="16">
        <v>1.1499999999999999</v>
      </c>
      <c r="E158" s="669"/>
      <c r="F158" s="659"/>
      <c r="G158" s="663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 t="s">
        <v>513</v>
      </c>
      <c r="S158" s="631"/>
      <c r="T158" s="634"/>
      <c r="U158" s="514"/>
    </row>
    <row r="159" spans="1:21" x14ac:dyDescent="0.25">
      <c r="A159" s="715" t="s">
        <v>514</v>
      </c>
      <c r="B159" s="651" t="s">
        <v>515</v>
      </c>
      <c r="C159" s="30">
        <v>0</v>
      </c>
      <c r="D159" s="30">
        <v>0.81100000000000005</v>
      </c>
      <c r="E159" s="668">
        <v>3.16</v>
      </c>
      <c r="F159" s="658">
        <v>12638</v>
      </c>
      <c r="G159" s="662" t="s">
        <v>368</v>
      </c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 t="s">
        <v>516</v>
      </c>
      <c r="S159" s="738"/>
      <c r="T159" s="641" t="s">
        <v>215</v>
      </c>
      <c r="U159" s="515"/>
    </row>
    <row r="160" spans="1:21" x14ac:dyDescent="0.25">
      <c r="A160" s="709"/>
      <c r="B160" s="711"/>
      <c r="C160" s="10">
        <v>0.81100000000000005</v>
      </c>
      <c r="D160" s="10">
        <v>0.92900000000000005</v>
      </c>
      <c r="E160" s="725"/>
      <c r="F160" s="726"/>
      <c r="G160" s="714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 t="s">
        <v>517</v>
      </c>
      <c r="S160" s="621"/>
      <c r="T160" s="633"/>
      <c r="U160" s="516"/>
    </row>
    <row r="161" spans="1:21" x14ac:dyDescent="0.25">
      <c r="A161" s="709"/>
      <c r="B161" s="711"/>
      <c r="C161" s="10">
        <v>0.92900000000000005</v>
      </c>
      <c r="D161" s="10">
        <v>1.004</v>
      </c>
      <c r="E161" s="725"/>
      <c r="F161" s="726"/>
      <c r="G161" s="714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 t="s">
        <v>518</v>
      </c>
      <c r="S161" s="621"/>
      <c r="T161" s="633"/>
      <c r="U161" s="516"/>
    </row>
    <row r="162" spans="1:21" x14ac:dyDescent="0.25">
      <c r="A162" s="709"/>
      <c r="B162" s="711"/>
      <c r="C162" s="10">
        <v>1.004</v>
      </c>
      <c r="D162" s="10">
        <v>1.3009999999999999</v>
      </c>
      <c r="E162" s="725"/>
      <c r="F162" s="726"/>
      <c r="G162" s="714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 t="s">
        <v>519</v>
      </c>
      <c r="S162" s="621"/>
      <c r="T162" s="633"/>
      <c r="U162" s="516"/>
    </row>
    <row r="163" spans="1:21" x14ac:dyDescent="0.25">
      <c r="A163" s="709"/>
      <c r="B163" s="711"/>
      <c r="C163" s="10">
        <v>1.3009999999999999</v>
      </c>
      <c r="D163" s="10">
        <v>1.9610000000000001</v>
      </c>
      <c r="E163" s="725"/>
      <c r="F163" s="726"/>
      <c r="G163" s="714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 t="s">
        <v>520</v>
      </c>
      <c r="S163" s="621"/>
      <c r="T163" s="633"/>
      <c r="U163" s="516"/>
    </row>
    <row r="164" spans="1:21" x14ac:dyDescent="0.25">
      <c r="A164" s="709"/>
      <c r="B164" s="711"/>
      <c r="C164" s="10">
        <v>1.9610000000000001</v>
      </c>
      <c r="D164" s="10">
        <v>2.2080000000000002</v>
      </c>
      <c r="E164" s="725"/>
      <c r="F164" s="726"/>
      <c r="G164" s="714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 t="s">
        <v>521</v>
      </c>
      <c r="S164" s="621"/>
      <c r="T164" s="633"/>
      <c r="U164" s="516"/>
    </row>
    <row r="165" spans="1:21" x14ac:dyDescent="0.25">
      <c r="A165" s="709"/>
      <c r="B165" s="711"/>
      <c r="C165" s="10">
        <v>2.2080000000000002</v>
      </c>
      <c r="D165" s="10">
        <v>2.9180000000000001</v>
      </c>
      <c r="E165" s="725"/>
      <c r="F165" s="726"/>
      <c r="G165" s="714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 t="s">
        <v>522</v>
      </c>
      <c r="S165" s="621"/>
      <c r="T165" s="633"/>
      <c r="U165" s="516"/>
    </row>
    <row r="166" spans="1:21" x14ac:dyDescent="0.25">
      <c r="A166" s="709"/>
      <c r="B166" s="711"/>
      <c r="C166" s="10">
        <v>2.9180000000000001</v>
      </c>
      <c r="D166" s="10">
        <v>3</v>
      </c>
      <c r="E166" s="725"/>
      <c r="F166" s="726"/>
      <c r="G166" s="714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 t="s">
        <v>523</v>
      </c>
      <c r="S166" s="621"/>
      <c r="T166" s="633"/>
      <c r="U166" s="516"/>
    </row>
    <row r="167" spans="1:21" ht="14.4" thickBot="1" x14ac:dyDescent="0.3">
      <c r="A167" s="710"/>
      <c r="B167" s="652"/>
      <c r="C167" s="16">
        <v>3</v>
      </c>
      <c r="D167" s="16">
        <v>3.16</v>
      </c>
      <c r="E167" s="669"/>
      <c r="F167" s="659"/>
      <c r="G167" s="663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 t="s">
        <v>524</v>
      </c>
      <c r="S167" s="631"/>
      <c r="T167" s="634"/>
      <c r="U167" s="514"/>
    </row>
    <row r="168" spans="1:21" ht="36.6" thickBot="1" x14ac:dyDescent="0.3">
      <c r="A168" s="40" t="s">
        <v>525</v>
      </c>
      <c r="B168" s="23" t="s">
        <v>526</v>
      </c>
      <c r="C168" s="41">
        <v>0</v>
      </c>
      <c r="D168" s="41">
        <v>0.34399999999999997</v>
      </c>
      <c r="E168" s="41">
        <v>0.34399999999999997</v>
      </c>
      <c r="F168" s="4">
        <v>1374</v>
      </c>
      <c r="G168" s="3" t="s">
        <v>368</v>
      </c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3">
        <v>70460030051</v>
      </c>
      <c r="S168" s="103"/>
      <c r="T168" s="3" t="s">
        <v>215</v>
      </c>
      <c r="U168" s="517"/>
    </row>
    <row r="169" spans="1:21" x14ac:dyDescent="0.25">
      <c r="A169" s="715" t="s">
        <v>527</v>
      </c>
      <c r="B169" s="651" t="s">
        <v>528</v>
      </c>
      <c r="C169" s="30">
        <v>0</v>
      </c>
      <c r="D169" s="30">
        <v>8.7999999999999995E-2</v>
      </c>
      <c r="E169" s="668">
        <v>0.71</v>
      </c>
      <c r="F169" s="658">
        <v>2839</v>
      </c>
      <c r="G169" s="662" t="s">
        <v>368</v>
      </c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 t="s">
        <v>529</v>
      </c>
      <c r="S169" s="738"/>
      <c r="T169" s="641" t="s">
        <v>215</v>
      </c>
      <c r="U169" s="515"/>
    </row>
    <row r="170" spans="1:21" x14ac:dyDescent="0.25">
      <c r="A170" s="709"/>
      <c r="B170" s="711"/>
      <c r="C170" s="10">
        <v>8.7999999999999995E-2</v>
      </c>
      <c r="D170" s="10">
        <v>0.29599999999999999</v>
      </c>
      <c r="E170" s="725"/>
      <c r="F170" s="726"/>
      <c r="G170" s="714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 t="s">
        <v>530</v>
      </c>
      <c r="S170" s="621"/>
      <c r="T170" s="633"/>
      <c r="U170" s="516"/>
    </row>
    <row r="171" spans="1:21" x14ac:dyDescent="0.25">
      <c r="A171" s="709"/>
      <c r="B171" s="711"/>
      <c r="C171" s="10">
        <v>0.29599999999999999</v>
      </c>
      <c r="D171" s="10">
        <v>0.51100000000000001</v>
      </c>
      <c r="E171" s="725"/>
      <c r="F171" s="726"/>
      <c r="G171" s="714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>
        <v>70460040117</v>
      </c>
      <c r="S171" s="621"/>
      <c r="T171" s="633"/>
      <c r="U171" s="516"/>
    </row>
    <row r="172" spans="1:21" x14ac:dyDescent="0.25">
      <c r="A172" s="709"/>
      <c r="B172" s="711"/>
      <c r="C172" s="10">
        <v>0.51100000000000001</v>
      </c>
      <c r="D172" s="10">
        <v>0.57799999999999996</v>
      </c>
      <c r="E172" s="725"/>
      <c r="F172" s="726"/>
      <c r="G172" s="714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 t="s">
        <v>531</v>
      </c>
      <c r="S172" s="621"/>
      <c r="T172" s="633"/>
      <c r="U172" s="516"/>
    </row>
    <row r="173" spans="1:21" x14ac:dyDescent="0.25">
      <c r="A173" s="709"/>
      <c r="B173" s="711"/>
      <c r="C173" s="10">
        <v>0.57799999999999996</v>
      </c>
      <c r="D173" s="10">
        <v>0.628</v>
      </c>
      <c r="E173" s="725"/>
      <c r="F173" s="726"/>
      <c r="G173" s="714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>
        <v>70460040038</v>
      </c>
      <c r="S173" s="621"/>
      <c r="T173" s="633"/>
      <c r="U173" s="516"/>
    </row>
    <row r="174" spans="1:21" ht="14.4" thickBot="1" x14ac:dyDescent="0.3">
      <c r="A174" s="710"/>
      <c r="B174" s="652"/>
      <c r="C174" s="16">
        <v>0.628</v>
      </c>
      <c r="D174" s="16">
        <v>0.71</v>
      </c>
      <c r="E174" s="669"/>
      <c r="F174" s="659"/>
      <c r="G174" s="663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 t="s">
        <v>532</v>
      </c>
      <c r="S174" s="631"/>
      <c r="T174" s="634"/>
      <c r="U174" s="514"/>
    </row>
    <row r="175" spans="1:21" x14ac:dyDescent="0.25">
      <c r="A175" s="715" t="s">
        <v>533</v>
      </c>
      <c r="B175" s="651" t="s">
        <v>534</v>
      </c>
      <c r="C175" s="30">
        <v>0</v>
      </c>
      <c r="D175" s="30">
        <v>0.13800000000000001</v>
      </c>
      <c r="E175" s="668">
        <v>0.24</v>
      </c>
      <c r="F175" s="658">
        <v>955</v>
      </c>
      <c r="G175" s="662" t="s">
        <v>368</v>
      </c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 t="s">
        <v>446</v>
      </c>
      <c r="S175" s="738"/>
      <c r="T175" s="641" t="s">
        <v>215</v>
      </c>
      <c r="U175" s="515"/>
    </row>
    <row r="176" spans="1:21" x14ac:dyDescent="0.25">
      <c r="A176" s="709"/>
      <c r="B176" s="711"/>
      <c r="C176" s="10">
        <v>0.13800000000000001</v>
      </c>
      <c r="D176" s="10">
        <v>0.161</v>
      </c>
      <c r="E176" s="725"/>
      <c r="F176" s="726"/>
      <c r="G176" s="714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 t="s">
        <v>445</v>
      </c>
      <c r="S176" s="621"/>
      <c r="T176" s="633"/>
      <c r="U176" s="516"/>
    </row>
    <row r="177" spans="1:21" x14ac:dyDescent="0.25">
      <c r="A177" s="709"/>
      <c r="B177" s="711"/>
      <c r="C177" s="10">
        <v>0.161</v>
      </c>
      <c r="D177" s="10">
        <v>0.185</v>
      </c>
      <c r="E177" s="725"/>
      <c r="F177" s="726"/>
      <c r="G177" s="714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 t="s">
        <v>444</v>
      </c>
      <c r="S177" s="621"/>
      <c r="T177" s="633"/>
      <c r="U177" s="516"/>
    </row>
    <row r="178" spans="1:21" x14ac:dyDescent="0.25">
      <c r="A178" s="709"/>
      <c r="B178" s="711"/>
      <c r="C178" s="10">
        <v>0.185</v>
      </c>
      <c r="D178" s="10">
        <v>0.19400000000000001</v>
      </c>
      <c r="E178" s="725"/>
      <c r="F178" s="726"/>
      <c r="G178" s="714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 t="s">
        <v>535</v>
      </c>
      <c r="S178" s="621"/>
      <c r="T178" s="633"/>
      <c r="U178" s="516"/>
    </row>
    <row r="179" spans="1:21" ht="14.4" thickBot="1" x14ac:dyDescent="0.3">
      <c r="A179" s="710"/>
      <c r="B179" s="652"/>
      <c r="C179" s="16">
        <v>0.19400000000000001</v>
      </c>
      <c r="D179" s="16">
        <v>0.24</v>
      </c>
      <c r="E179" s="669"/>
      <c r="F179" s="659"/>
      <c r="G179" s="663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>
        <v>70460080346</v>
      </c>
      <c r="S179" s="631"/>
      <c r="T179" s="634"/>
      <c r="U179" s="514"/>
    </row>
    <row r="180" spans="1:21" x14ac:dyDescent="0.25">
      <c r="A180" s="651" t="s">
        <v>536</v>
      </c>
      <c r="B180" s="651" t="s">
        <v>537</v>
      </c>
      <c r="C180" s="43">
        <v>0</v>
      </c>
      <c r="D180" s="43">
        <v>0.10100000000000001</v>
      </c>
      <c r="E180" s="694">
        <v>1.788</v>
      </c>
      <c r="F180" s="723">
        <v>7150</v>
      </c>
      <c r="G180" s="662" t="s">
        <v>368</v>
      </c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 t="s">
        <v>538</v>
      </c>
      <c r="S180" s="738"/>
      <c r="T180" s="641" t="s">
        <v>215</v>
      </c>
      <c r="U180" s="515"/>
    </row>
    <row r="181" spans="1:21" x14ac:dyDescent="0.25">
      <c r="A181" s="711"/>
      <c r="B181" s="711"/>
      <c r="C181" s="48">
        <v>0.10100000000000001</v>
      </c>
      <c r="D181" s="10">
        <v>1.0049999999999999</v>
      </c>
      <c r="E181" s="695"/>
      <c r="F181" s="712"/>
      <c r="G181" s="714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>
        <v>70460050064</v>
      </c>
      <c r="S181" s="621"/>
      <c r="T181" s="633"/>
      <c r="U181" s="516"/>
    </row>
    <row r="182" spans="1:21" x14ac:dyDescent="0.25">
      <c r="A182" s="711"/>
      <c r="B182" s="711"/>
      <c r="C182" s="10">
        <v>1.0049999999999999</v>
      </c>
      <c r="D182" s="10">
        <v>1.7390000000000001</v>
      </c>
      <c r="E182" s="695"/>
      <c r="F182" s="712"/>
      <c r="G182" s="714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 t="s">
        <v>539</v>
      </c>
      <c r="S182" s="621"/>
      <c r="T182" s="633"/>
      <c r="U182" s="516"/>
    </row>
    <row r="183" spans="1:21" ht="14.4" thickBot="1" x14ac:dyDescent="0.3">
      <c r="A183" s="652"/>
      <c r="B183" s="652"/>
      <c r="C183" s="16">
        <v>1.7390000000000001</v>
      </c>
      <c r="D183" s="16">
        <v>1.788</v>
      </c>
      <c r="E183" s="696"/>
      <c r="F183" s="713"/>
      <c r="G183" s="663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>
        <v>70460050072</v>
      </c>
      <c r="S183" s="631"/>
      <c r="T183" s="634"/>
      <c r="U183" s="514"/>
    </row>
    <row r="184" spans="1:21" ht="24.6" customHeight="1" x14ac:dyDescent="0.25">
      <c r="A184" s="715" t="s">
        <v>540</v>
      </c>
      <c r="B184" s="651" t="s">
        <v>541</v>
      </c>
      <c r="C184" s="668">
        <v>0</v>
      </c>
      <c r="D184" s="668">
        <v>0.56799999999999995</v>
      </c>
      <c r="E184" s="668">
        <v>0.56799999999999995</v>
      </c>
      <c r="F184" s="658">
        <v>2273</v>
      </c>
      <c r="G184" s="662" t="s">
        <v>368</v>
      </c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 t="s">
        <v>542</v>
      </c>
      <c r="S184" s="738"/>
      <c r="T184" s="641" t="s">
        <v>215</v>
      </c>
      <c r="U184" s="515"/>
    </row>
    <row r="185" spans="1:21" x14ac:dyDescent="0.25">
      <c r="A185" s="709"/>
      <c r="B185" s="711"/>
      <c r="C185" s="725"/>
      <c r="D185" s="725"/>
      <c r="E185" s="725"/>
      <c r="F185" s="726"/>
      <c r="G185" s="714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 t="s">
        <v>543</v>
      </c>
      <c r="S185" s="740"/>
      <c r="T185" s="714"/>
      <c r="U185" s="519"/>
    </row>
    <row r="186" spans="1:21" ht="14.4" thickBot="1" x14ac:dyDescent="0.3">
      <c r="A186" s="710"/>
      <c r="B186" s="652"/>
      <c r="C186" s="669"/>
      <c r="D186" s="669"/>
      <c r="E186" s="669"/>
      <c r="F186" s="659"/>
      <c r="G186" s="663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 t="s">
        <v>544</v>
      </c>
      <c r="S186" s="631"/>
      <c r="T186" s="634"/>
      <c r="U186" s="514"/>
    </row>
    <row r="187" spans="1:21" ht="15.75" customHeight="1" x14ac:dyDescent="0.25">
      <c r="A187" s="715" t="s">
        <v>545</v>
      </c>
      <c r="B187" s="651" t="s">
        <v>546</v>
      </c>
      <c r="C187" s="43">
        <v>0</v>
      </c>
      <c r="D187" s="43">
        <v>0.34799999999999998</v>
      </c>
      <c r="E187" s="694">
        <v>1.1859999999999999</v>
      </c>
      <c r="F187" s="723">
        <v>4744</v>
      </c>
      <c r="G187" s="662" t="s">
        <v>368</v>
      </c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 t="s">
        <v>547</v>
      </c>
      <c r="S187" s="738"/>
      <c r="T187" s="641" t="s">
        <v>215</v>
      </c>
      <c r="U187" s="515"/>
    </row>
    <row r="188" spans="1:21" x14ac:dyDescent="0.25">
      <c r="A188" s="709"/>
      <c r="B188" s="711"/>
      <c r="C188" s="48">
        <v>0.34799999999999998</v>
      </c>
      <c r="D188" s="10">
        <v>0.54700000000000004</v>
      </c>
      <c r="E188" s="695"/>
      <c r="F188" s="712"/>
      <c r="G188" s="7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3">
        <v>70460070099</v>
      </c>
      <c r="S188" s="621"/>
      <c r="T188" s="633"/>
      <c r="U188" s="516"/>
    </row>
    <row r="189" spans="1:21" x14ac:dyDescent="0.25">
      <c r="A189" s="709"/>
      <c r="B189" s="711"/>
      <c r="C189" s="10">
        <v>0.54700000000000004</v>
      </c>
      <c r="D189" s="10">
        <v>0.66100000000000003</v>
      </c>
      <c r="E189" s="695"/>
      <c r="F189" s="712"/>
      <c r="G189" s="7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3" t="s">
        <v>548</v>
      </c>
      <c r="S189" s="621"/>
      <c r="T189" s="633"/>
      <c r="U189" s="516"/>
    </row>
    <row r="190" spans="1:21" ht="15.75" customHeight="1" x14ac:dyDescent="0.25">
      <c r="A190" s="709"/>
      <c r="B190" s="711"/>
      <c r="C190" s="10">
        <v>0.66100000000000003</v>
      </c>
      <c r="D190" s="10">
        <v>0.79900000000000004</v>
      </c>
      <c r="E190" s="695"/>
      <c r="F190" s="712"/>
      <c r="G190" s="7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3" t="s">
        <v>549</v>
      </c>
      <c r="S190" s="621"/>
      <c r="T190" s="633"/>
      <c r="U190" s="516"/>
    </row>
    <row r="191" spans="1:21" ht="15.75" customHeight="1" thickBot="1" x14ac:dyDescent="0.3">
      <c r="A191" s="710"/>
      <c r="B191" s="652"/>
      <c r="C191" s="16">
        <v>0.79900000000000004</v>
      </c>
      <c r="D191" s="16">
        <v>1.1859999999999999</v>
      </c>
      <c r="E191" s="696"/>
      <c r="F191" s="713"/>
      <c r="G191" s="663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19" t="s">
        <v>550</v>
      </c>
      <c r="S191" s="631"/>
      <c r="T191" s="634"/>
      <c r="U191" s="514"/>
    </row>
    <row r="192" spans="1:21" x14ac:dyDescent="0.25">
      <c r="A192" s="715" t="s">
        <v>551</v>
      </c>
      <c r="B192" s="651" t="s">
        <v>552</v>
      </c>
      <c r="C192" s="43">
        <v>0</v>
      </c>
      <c r="D192" s="43">
        <v>0.126</v>
      </c>
      <c r="E192" s="694">
        <v>0.71199999999999997</v>
      </c>
      <c r="F192" s="723">
        <v>2847</v>
      </c>
      <c r="G192" s="662" t="s">
        <v>368</v>
      </c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 t="s">
        <v>553</v>
      </c>
      <c r="S192" s="738"/>
      <c r="T192" s="641" t="s">
        <v>215</v>
      </c>
      <c r="U192" s="515"/>
    </row>
    <row r="193" spans="1:23" x14ac:dyDescent="0.25">
      <c r="A193" s="709"/>
      <c r="B193" s="711"/>
      <c r="C193" s="48">
        <v>0.126</v>
      </c>
      <c r="D193" s="10">
        <v>0.39400000000000002</v>
      </c>
      <c r="E193" s="695"/>
      <c r="F193" s="712"/>
      <c r="G193" s="714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>
        <v>70460010136</v>
      </c>
      <c r="S193" s="621"/>
      <c r="T193" s="633"/>
      <c r="U193" s="516"/>
    </row>
    <row r="194" spans="1:23" x14ac:dyDescent="0.25">
      <c r="A194" s="709"/>
      <c r="B194" s="711"/>
      <c r="C194" s="10">
        <v>0.39400000000000002</v>
      </c>
      <c r="D194" s="10">
        <v>0.60899999999999999</v>
      </c>
      <c r="E194" s="695"/>
      <c r="F194" s="712"/>
      <c r="G194" s="714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 t="s">
        <v>554</v>
      </c>
      <c r="S194" s="621"/>
      <c r="T194" s="633"/>
      <c r="U194" s="516"/>
    </row>
    <row r="195" spans="1:23" ht="14.4" thickBot="1" x14ac:dyDescent="0.3">
      <c r="A195" s="710"/>
      <c r="B195" s="652"/>
      <c r="C195" s="16">
        <v>0.60899999999999999</v>
      </c>
      <c r="D195" s="16">
        <v>0.71199999999999997</v>
      </c>
      <c r="E195" s="696"/>
      <c r="F195" s="713"/>
      <c r="G195" s="663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 t="s">
        <v>555</v>
      </c>
      <c r="S195" s="631"/>
      <c r="T195" s="634"/>
      <c r="U195" s="514"/>
    </row>
    <row r="196" spans="1:23" ht="36.6" thickBot="1" x14ac:dyDescent="0.3">
      <c r="A196" s="40" t="s">
        <v>556</v>
      </c>
      <c r="B196" s="23" t="s">
        <v>557</v>
      </c>
      <c r="C196" s="24">
        <v>0</v>
      </c>
      <c r="D196" s="24">
        <v>0.68400000000000005</v>
      </c>
      <c r="E196" s="24">
        <v>0.68400000000000005</v>
      </c>
      <c r="F196" s="25">
        <v>2736</v>
      </c>
      <c r="G196" s="3" t="s">
        <v>368</v>
      </c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>
        <v>70460090236</v>
      </c>
      <c r="S196" s="103"/>
      <c r="T196" s="3" t="s">
        <v>215</v>
      </c>
      <c r="U196" s="517"/>
      <c r="W196" s="99"/>
    </row>
    <row r="197" spans="1:23" x14ac:dyDescent="0.25">
      <c r="A197" s="715" t="s">
        <v>558</v>
      </c>
      <c r="B197" s="651" t="s">
        <v>559</v>
      </c>
      <c r="C197" s="668">
        <v>0</v>
      </c>
      <c r="D197" s="668">
        <v>0.74199999999999999</v>
      </c>
      <c r="E197" s="668">
        <v>0.74199999999999999</v>
      </c>
      <c r="F197" s="658">
        <v>2968</v>
      </c>
      <c r="G197" s="662" t="s">
        <v>368</v>
      </c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 t="s">
        <v>560</v>
      </c>
      <c r="S197" s="738"/>
      <c r="T197" s="641" t="s">
        <v>215</v>
      </c>
      <c r="U197" s="515"/>
    </row>
    <row r="198" spans="1:23" x14ac:dyDescent="0.25">
      <c r="A198" s="709"/>
      <c r="B198" s="711"/>
      <c r="C198" s="725"/>
      <c r="D198" s="725"/>
      <c r="E198" s="725"/>
      <c r="F198" s="726"/>
      <c r="G198" s="714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13" t="s">
        <v>561</v>
      </c>
      <c r="S198" s="741"/>
      <c r="T198" s="632"/>
      <c r="U198" s="513"/>
    </row>
    <row r="199" spans="1:23" x14ac:dyDescent="0.25">
      <c r="A199" s="709"/>
      <c r="B199" s="711"/>
      <c r="C199" s="725"/>
      <c r="D199" s="725"/>
      <c r="E199" s="725"/>
      <c r="F199" s="726"/>
      <c r="G199" s="714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13">
        <v>70460040115</v>
      </c>
      <c r="S199" s="741"/>
      <c r="T199" s="632"/>
      <c r="U199" s="513"/>
    </row>
    <row r="200" spans="1:23" x14ac:dyDescent="0.25">
      <c r="A200" s="709"/>
      <c r="B200" s="711"/>
      <c r="C200" s="725"/>
      <c r="D200" s="725"/>
      <c r="E200" s="725"/>
      <c r="F200" s="726"/>
      <c r="G200" s="714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13" t="s">
        <v>562</v>
      </c>
      <c r="S200" s="741"/>
      <c r="T200" s="632"/>
      <c r="U200" s="513"/>
    </row>
    <row r="201" spans="1:23" x14ac:dyDescent="0.25">
      <c r="A201" s="709"/>
      <c r="B201" s="711"/>
      <c r="C201" s="725"/>
      <c r="D201" s="725"/>
      <c r="E201" s="725"/>
      <c r="F201" s="726"/>
      <c r="G201" s="714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 t="s">
        <v>563</v>
      </c>
      <c r="S201" s="621"/>
      <c r="T201" s="633"/>
      <c r="U201" s="516"/>
    </row>
    <row r="202" spans="1:23" x14ac:dyDescent="0.25">
      <c r="A202" s="709"/>
      <c r="B202" s="711"/>
      <c r="C202" s="725"/>
      <c r="D202" s="725"/>
      <c r="E202" s="725"/>
      <c r="F202" s="726"/>
      <c r="G202" s="714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 t="s">
        <v>564</v>
      </c>
      <c r="S202" s="621"/>
      <c r="T202" s="633"/>
      <c r="U202" s="516"/>
    </row>
    <row r="203" spans="1:23" x14ac:dyDescent="0.25">
      <c r="A203" s="709"/>
      <c r="B203" s="711"/>
      <c r="C203" s="725"/>
      <c r="D203" s="725"/>
      <c r="E203" s="725"/>
      <c r="F203" s="726"/>
      <c r="G203" s="714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 t="s">
        <v>565</v>
      </c>
      <c r="S203" s="621"/>
      <c r="T203" s="633"/>
      <c r="U203" s="516"/>
    </row>
    <row r="204" spans="1:23" ht="14.4" thickBot="1" x14ac:dyDescent="0.3">
      <c r="A204" s="710"/>
      <c r="B204" s="652"/>
      <c r="C204" s="669"/>
      <c r="D204" s="669"/>
      <c r="E204" s="669"/>
      <c r="F204" s="659"/>
      <c r="G204" s="663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 t="s">
        <v>566</v>
      </c>
      <c r="S204" s="631"/>
      <c r="T204" s="634"/>
      <c r="U204" s="514"/>
    </row>
    <row r="205" spans="1:23" x14ac:dyDescent="0.25">
      <c r="A205" s="709" t="s">
        <v>567</v>
      </c>
      <c r="B205" s="711" t="s">
        <v>568</v>
      </c>
      <c r="C205" s="668">
        <v>0</v>
      </c>
      <c r="D205" s="668">
        <v>0.77</v>
      </c>
      <c r="E205" s="725">
        <v>0.77</v>
      </c>
      <c r="F205" s="726">
        <v>3081</v>
      </c>
      <c r="G205" s="714" t="s">
        <v>368</v>
      </c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 t="s">
        <v>569</v>
      </c>
      <c r="S205" s="739"/>
      <c r="T205" s="632" t="s">
        <v>215</v>
      </c>
      <c r="U205" s="513"/>
    </row>
    <row r="206" spans="1:23" x14ac:dyDescent="0.25">
      <c r="A206" s="709"/>
      <c r="B206" s="711"/>
      <c r="C206" s="725"/>
      <c r="D206" s="725"/>
      <c r="E206" s="725"/>
      <c r="F206" s="726"/>
      <c r="G206" s="714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>
        <v>70460010135</v>
      </c>
      <c r="S206" s="739"/>
      <c r="T206" s="632"/>
      <c r="U206" s="513"/>
    </row>
    <row r="207" spans="1:23" x14ac:dyDescent="0.25">
      <c r="A207" s="709"/>
      <c r="B207" s="711"/>
      <c r="C207" s="725"/>
      <c r="D207" s="725"/>
      <c r="E207" s="725"/>
      <c r="F207" s="726"/>
      <c r="G207" s="714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 t="s">
        <v>570</v>
      </c>
      <c r="S207" s="621"/>
      <c r="T207" s="633"/>
      <c r="U207" s="516"/>
    </row>
    <row r="208" spans="1:23" x14ac:dyDescent="0.25">
      <c r="A208" s="709"/>
      <c r="B208" s="711"/>
      <c r="C208" s="725"/>
      <c r="D208" s="725"/>
      <c r="E208" s="725"/>
      <c r="F208" s="726"/>
      <c r="G208" s="714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 t="s">
        <v>571</v>
      </c>
      <c r="S208" s="621"/>
      <c r="T208" s="633"/>
      <c r="U208" s="516"/>
    </row>
    <row r="209" spans="1:21" x14ac:dyDescent="0.25">
      <c r="A209" s="709"/>
      <c r="B209" s="711"/>
      <c r="C209" s="725"/>
      <c r="D209" s="725"/>
      <c r="E209" s="725"/>
      <c r="F209" s="726"/>
      <c r="G209" s="714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 t="s">
        <v>572</v>
      </c>
      <c r="S209" s="621"/>
      <c r="T209" s="633"/>
      <c r="U209" s="516"/>
    </row>
    <row r="210" spans="1:21" ht="14.4" thickBot="1" x14ac:dyDescent="0.3">
      <c r="A210" s="710"/>
      <c r="B210" s="652"/>
      <c r="C210" s="669"/>
      <c r="D210" s="669"/>
      <c r="E210" s="669"/>
      <c r="F210" s="659"/>
      <c r="G210" s="663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 t="s">
        <v>573</v>
      </c>
      <c r="S210" s="631"/>
      <c r="T210" s="634"/>
      <c r="U210" s="514"/>
    </row>
    <row r="211" spans="1:21" ht="36.6" thickBot="1" x14ac:dyDescent="0.3">
      <c r="A211" s="40" t="s">
        <v>574</v>
      </c>
      <c r="B211" s="23" t="s">
        <v>575</v>
      </c>
      <c r="C211" s="24">
        <v>0</v>
      </c>
      <c r="D211" s="24">
        <v>0.253</v>
      </c>
      <c r="E211" s="24">
        <v>0.253</v>
      </c>
      <c r="F211" s="25">
        <v>1013</v>
      </c>
      <c r="G211" s="3" t="s">
        <v>368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>
        <v>70460080349</v>
      </c>
      <c r="S211" s="103"/>
      <c r="T211" s="3" t="s">
        <v>215</v>
      </c>
      <c r="U211" s="517"/>
    </row>
    <row r="212" spans="1:21" x14ac:dyDescent="0.25">
      <c r="A212" s="643" t="s">
        <v>576</v>
      </c>
      <c r="B212" s="607" t="s">
        <v>577</v>
      </c>
      <c r="C212" s="30">
        <v>0</v>
      </c>
      <c r="D212" s="30">
        <v>0.31900000000000001</v>
      </c>
      <c r="E212" s="668">
        <v>1.4450000000000001</v>
      </c>
      <c r="F212" s="658">
        <v>5778</v>
      </c>
      <c r="G212" s="662" t="s">
        <v>368</v>
      </c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 t="s">
        <v>578</v>
      </c>
      <c r="S212" s="738"/>
      <c r="T212" s="641" t="s">
        <v>215</v>
      </c>
      <c r="U212" s="515"/>
    </row>
    <row r="213" spans="1:21" x14ac:dyDescent="0.25">
      <c r="A213" s="742"/>
      <c r="B213" s="608"/>
      <c r="C213" s="10">
        <v>0.31900000000000001</v>
      </c>
      <c r="D213" s="10">
        <v>0.47199999999999998</v>
      </c>
      <c r="E213" s="725"/>
      <c r="F213" s="726"/>
      <c r="G213" s="714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 t="s">
        <v>579</v>
      </c>
      <c r="S213" s="621"/>
      <c r="T213" s="633"/>
      <c r="U213" s="516"/>
    </row>
    <row r="214" spans="1:21" x14ac:dyDescent="0.25">
      <c r="A214" s="742"/>
      <c r="B214" s="608"/>
      <c r="C214" s="10">
        <v>0.47199999999999998</v>
      </c>
      <c r="D214" s="10">
        <v>0.83099999999999996</v>
      </c>
      <c r="E214" s="725"/>
      <c r="F214" s="726"/>
      <c r="G214" s="714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 t="s">
        <v>580</v>
      </c>
      <c r="S214" s="621"/>
      <c r="T214" s="633"/>
      <c r="U214" s="516"/>
    </row>
    <row r="215" spans="1:21" x14ac:dyDescent="0.25">
      <c r="A215" s="742"/>
      <c r="B215" s="608"/>
      <c r="C215" s="10">
        <v>0.83099999999999996</v>
      </c>
      <c r="D215" s="10">
        <v>1.0649999999999999</v>
      </c>
      <c r="E215" s="725"/>
      <c r="F215" s="726"/>
      <c r="G215" s="714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 t="s">
        <v>581</v>
      </c>
      <c r="S215" s="621"/>
      <c r="T215" s="633"/>
      <c r="U215" s="516"/>
    </row>
    <row r="216" spans="1:21" x14ac:dyDescent="0.25">
      <c r="A216" s="742"/>
      <c r="B216" s="608"/>
      <c r="C216" s="10">
        <v>1.0649999999999999</v>
      </c>
      <c r="D216" s="10">
        <v>1.3009999999999999</v>
      </c>
      <c r="E216" s="725"/>
      <c r="F216" s="726"/>
      <c r="G216" s="714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 t="s">
        <v>582</v>
      </c>
      <c r="S216" s="621"/>
      <c r="T216" s="633"/>
      <c r="U216" s="516"/>
    </row>
    <row r="217" spans="1:21" ht="14.4" thickBot="1" x14ac:dyDescent="0.3">
      <c r="A217" s="644"/>
      <c r="B217" s="609"/>
      <c r="C217" s="16">
        <v>1.3009999999999999</v>
      </c>
      <c r="D217" s="16">
        <v>1.4450000000000001</v>
      </c>
      <c r="E217" s="669"/>
      <c r="F217" s="659"/>
      <c r="G217" s="663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 t="s">
        <v>583</v>
      </c>
      <c r="S217" s="631"/>
      <c r="T217" s="634"/>
      <c r="U217" s="514"/>
    </row>
    <row r="218" spans="1:21" ht="24.6" customHeight="1" x14ac:dyDescent="0.25">
      <c r="A218" s="643" t="s">
        <v>584</v>
      </c>
      <c r="B218" s="607" t="s">
        <v>585</v>
      </c>
      <c r="C218" s="30">
        <v>0</v>
      </c>
      <c r="D218" s="30">
        <v>0.35799999999999998</v>
      </c>
      <c r="E218" s="668">
        <v>0.76</v>
      </c>
      <c r="F218" s="658">
        <v>3039</v>
      </c>
      <c r="G218" s="662" t="s">
        <v>368</v>
      </c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 t="s">
        <v>586</v>
      </c>
      <c r="S218" s="738"/>
      <c r="T218" s="641" t="s">
        <v>215</v>
      </c>
      <c r="U218" s="515"/>
    </row>
    <row r="219" spans="1:21" ht="14.4" thickBot="1" x14ac:dyDescent="0.3">
      <c r="A219" s="644"/>
      <c r="B219" s="609"/>
      <c r="C219" s="16">
        <v>0.35799999999999998</v>
      </c>
      <c r="D219" s="16">
        <v>0.76</v>
      </c>
      <c r="E219" s="669"/>
      <c r="F219" s="659"/>
      <c r="G219" s="663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 t="s">
        <v>587</v>
      </c>
      <c r="S219" s="631"/>
      <c r="T219" s="634"/>
      <c r="U219" s="514"/>
    </row>
    <row r="220" spans="1:21" x14ac:dyDescent="0.25">
      <c r="A220" s="643" t="s">
        <v>588</v>
      </c>
      <c r="B220" s="607" t="s">
        <v>589</v>
      </c>
      <c r="C220" s="30">
        <v>0</v>
      </c>
      <c r="D220" s="30">
        <v>0.22900000000000001</v>
      </c>
      <c r="E220" s="668">
        <v>0.56899999999999995</v>
      </c>
      <c r="F220" s="658">
        <v>2277</v>
      </c>
      <c r="G220" s="662" t="s">
        <v>368</v>
      </c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 t="s">
        <v>590</v>
      </c>
      <c r="S220" s="738"/>
      <c r="T220" s="641" t="s">
        <v>215</v>
      </c>
      <c r="U220" s="515"/>
    </row>
    <row r="221" spans="1:21" x14ac:dyDescent="0.25">
      <c r="A221" s="742"/>
      <c r="B221" s="608"/>
      <c r="C221" s="10">
        <v>0.22900000000000001</v>
      </c>
      <c r="D221" s="10">
        <v>0.33200000000000002</v>
      </c>
      <c r="E221" s="725"/>
      <c r="F221" s="726"/>
      <c r="G221" s="714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 t="s">
        <v>591</v>
      </c>
      <c r="S221" s="621"/>
      <c r="T221" s="633"/>
      <c r="U221" s="516"/>
    </row>
    <row r="222" spans="1:21" ht="14.4" thickBot="1" x14ac:dyDescent="0.3">
      <c r="A222" s="644"/>
      <c r="B222" s="609"/>
      <c r="C222" s="16">
        <v>0.33200000000000002</v>
      </c>
      <c r="D222" s="16">
        <v>0.56899999999999995</v>
      </c>
      <c r="E222" s="669"/>
      <c r="F222" s="659"/>
      <c r="G222" s="663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 t="s">
        <v>592</v>
      </c>
      <c r="S222" s="631"/>
      <c r="T222" s="634"/>
      <c r="U222" s="514"/>
    </row>
    <row r="223" spans="1:21" ht="24.6" customHeight="1" x14ac:dyDescent="0.25">
      <c r="A223" s="732" t="s">
        <v>593</v>
      </c>
      <c r="B223" s="607" t="s">
        <v>594</v>
      </c>
      <c r="C223" s="30">
        <v>0</v>
      </c>
      <c r="D223" s="30">
        <v>0.879</v>
      </c>
      <c r="E223" s="668">
        <v>1.1040000000000001</v>
      </c>
      <c r="F223" s="658">
        <v>4414</v>
      </c>
      <c r="G223" s="727" t="s">
        <v>348</v>
      </c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>
        <v>70460090172</v>
      </c>
      <c r="S223" s="640" t="s">
        <v>349</v>
      </c>
      <c r="T223" s="641" t="s">
        <v>215</v>
      </c>
      <c r="U223" s="642" t="s">
        <v>241</v>
      </c>
    </row>
    <row r="224" spans="1:21" ht="14.4" thickBot="1" x14ac:dyDescent="0.3">
      <c r="A224" s="734"/>
      <c r="B224" s="609"/>
      <c r="C224" s="16">
        <v>0.879</v>
      </c>
      <c r="D224" s="16">
        <v>1.1040000000000001</v>
      </c>
      <c r="E224" s="669"/>
      <c r="F224" s="659"/>
      <c r="G224" s="72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>
        <v>70460040092</v>
      </c>
      <c r="S224" s="631"/>
      <c r="T224" s="634"/>
      <c r="U224" s="637"/>
    </row>
    <row r="226" spans="1:32" ht="24" x14ac:dyDescent="0.25">
      <c r="B226" s="61" t="s">
        <v>202</v>
      </c>
    </row>
    <row r="227" spans="1:32" x14ac:dyDescent="0.25">
      <c r="B227" s="61" t="s">
        <v>203</v>
      </c>
    </row>
    <row r="228" spans="1:32" ht="24" x14ac:dyDescent="0.25">
      <c r="B228" s="61" t="s">
        <v>204</v>
      </c>
    </row>
    <row r="229" spans="1:32" ht="24" x14ac:dyDescent="0.25">
      <c r="B229" s="61" t="s">
        <v>205</v>
      </c>
    </row>
    <row r="231" spans="1:32" ht="27.6" customHeight="1" x14ac:dyDescent="0.25">
      <c r="A231" s="509"/>
      <c r="B231" s="509"/>
      <c r="C231" s="512" t="s">
        <v>3985</v>
      </c>
      <c r="D231" s="543" t="s">
        <v>3986</v>
      </c>
      <c r="E231" s="543"/>
      <c r="F231" s="543"/>
      <c r="G231" s="509"/>
      <c r="H231" s="509"/>
      <c r="I231" s="509"/>
      <c r="J231" s="509"/>
      <c r="K231" s="509"/>
      <c r="L231" s="509"/>
      <c r="M231" s="509"/>
      <c r="N231" s="509"/>
      <c r="O231" s="509"/>
      <c r="P231" s="509"/>
      <c r="Q231" s="509"/>
      <c r="R231" s="509"/>
      <c r="S231" s="509"/>
      <c r="T231" s="509"/>
      <c r="U231" s="509"/>
      <c r="V231" s="509"/>
      <c r="W231" s="509"/>
      <c r="X231" s="509"/>
      <c r="Y231" s="509"/>
      <c r="Z231" s="509"/>
      <c r="AA231" s="509"/>
      <c r="AB231" s="509"/>
      <c r="AC231" s="509"/>
      <c r="AD231" s="509"/>
      <c r="AE231" s="510"/>
      <c r="AF231" s="510"/>
    </row>
    <row r="232" spans="1:32" x14ac:dyDescent="0.25">
      <c r="A232" s="509"/>
      <c r="B232" s="509"/>
      <c r="C232" s="509"/>
      <c r="D232" s="509"/>
      <c r="E232" s="509"/>
      <c r="F232" s="509"/>
      <c r="G232" s="509"/>
      <c r="H232" s="509"/>
      <c r="I232" s="509"/>
      <c r="J232" s="509"/>
      <c r="K232" s="509"/>
      <c r="L232" s="509"/>
      <c r="M232" s="509"/>
      <c r="N232" s="509"/>
      <c r="O232" s="509"/>
      <c r="P232" s="509"/>
      <c r="Q232" s="509"/>
      <c r="R232" s="509"/>
      <c r="S232" s="509"/>
      <c r="T232" s="509"/>
      <c r="U232" s="509"/>
      <c r="V232" s="509"/>
      <c r="W232" s="509"/>
      <c r="X232" s="509"/>
      <c r="Y232" s="509"/>
      <c r="Z232" s="509"/>
      <c r="AA232" s="509"/>
      <c r="AB232" s="509"/>
      <c r="AC232" s="509"/>
      <c r="AD232" s="509"/>
      <c r="AE232" s="510"/>
      <c r="AF232" s="510"/>
    </row>
    <row r="233" spans="1:32" x14ac:dyDescent="0.25">
      <c r="A233" s="509"/>
      <c r="B233" s="509"/>
      <c r="C233" s="509"/>
      <c r="D233" s="509"/>
      <c r="E233" s="509"/>
      <c r="F233" s="509"/>
      <c r="G233" s="509"/>
      <c r="H233" s="509"/>
      <c r="I233" s="509"/>
      <c r="J233" s="509"/>
      <c r="K233" s="509"/>
      <c r="L233" s="509"/>
      <c r="M233" s="509"/>
      <c r="N233" s="509"/>
      <c r="O233" s="509"/>
      <c r="P233" s="509"/>
      <c r="Q233" s="509"/>
      <c r="R233" s="509"/>
      <c r="S233" s="509"/>
      <c r="T233" s="509"/>
      <c r="U233" s="509"/>
      <c r="V233" s="509"/>
      <c r="W233" s="509"/>
      <c r="X233" s="509"/>
      <c r="Y233" s="509"/>
      <c r="Z233" s="509"/>
      <c r="AA233" s="509"/>
      <c r="AB233" s="509"/>
      <c r="AC233" s="509"/>
      <c r="AD233" s="509"/>
      <c r="AE233" s="417"/>
      <c r="AF233" s="510"/>
    </row>
    <row r="234" spans="1:32" x14ac:dyDescent="0.25">
      <c r="C234" s="438" t="s">
        <v>3989</v>
      </c>
      <c r="D234" s="544" t="s">
        <v>3990</v>
      </c>
      <c r="E234" s="544"/>
      <c r="F234" s="544"/>
      <c r="G234" s="544"/>
      <c r="H234" s="544"/>
      <c r="I234" s="544"/>
      <c r="T234" s="60"/>
      <c r="U234" s="60"/>
      <c r="W234" s="59"/>
    </row>
    <row r="235" spans="1:32" ht="13.95" customHeight="1" x14ac:dyDescent="0.25">
      <c r="C235" s="438" t="s">
        <v>3987</v>
      </c>
      <c r="D235" s="553" t="s">
        <v>3988</v>
      </c>
      <c r="E235" s="553"/>
      <c r="F235" s="553"/>
      <c r="G235" s="553"/>
      <c r="H235" s="553"/>
      <c r="I235" s="553"/>
      <c r="T235" s="60"/>
      <c r="U235" s="60"/>
      <c r="W235" s="59"/>
    </row>
    <row r="236" spans="1:32" ht="14.4" customHeight="1" x14ac:dyDescent="0.25">
      <c r="B236" s="59"/>
      <c r="T236" s="60"/>
      <c r="U236" s="60"/>
      <c r="W236" s="59"/>
    </row>
    <row r="237" spans="1:32" x14ac:dyDescent="0.25">
      <c r="B237" s="554" t="s">
        <v>3984</v>
      </c>
      <c r="C237" s="554"/>
      <c r="D237" s="554"/>
      <c r="E237" s="554"/>
      <c r="F237" s="554"/>
      <c r="G237" s="554"/>
      <c r="H237" s="554"/>
      <c r="I237" s="554"/>
    </row>
  </sheetData>
  <mergeCells count="354">
    <mergeCell ref="T223:T224"/>
    <mergeCell ref="U223:U224"/>
    <mergeCell ref="A223:A224"/>
    <mergeCell ref="B223:B224"/>
    <mergeCell ref="E223:E224"/>
    <mergeCell ref="F223:F224"/>
    <mergeCell ref="G223:G224"/>
    <mergeCell ref="S223:S224"/>
    <mergeCell ref="T218:T219"/>
    <mergeCell ref="A220:A222"/>
    <mergeCell ref="B220:B222"/>
    <mergeCell ref="E220:E222"/>
    <mergeCell ref="F220:F222"/>
    <mergeCell ref="G220:G222"/>
    <mergeCell ref="S220:S222"/>
    <mergeCell ref="T220:T222"/>
    <mergeCell ref="A218:A219"/>
    <mergeCell ref="B218:B219"/>
    <mergeCell ref="E218:E219"/>
    <mergeCell ref="F218:F219"/>
    <mergeCell ref="G218:G219"/>
    <mergeCell ref="S218:S219"/>
    <mergeCell ref="G205:G210"/>
    <mergeCell ref="S205:S210"/>
    <mergeCell ref="T205:T210"/>
    <mergeCell ref="A212:A217"/>
    <mergeCell ref="B212:B217"/>
    <mergeCell ref="E212:E217"/>
    <mergeCell ref="F212:F217"/>
    <mergeCell ref="G212:G217"/>
    <mergeCell ref="S212:S217"/>
    <mergeCell ref="T212:T217"/>
    <mergeCell ref="A205:A210"/>
    <mergeCell ref="B205:B210"/>
    <mergeCell ref="C205:C210"/>
    <mergeCell ref="D205:D210"/>
    <mergeCell ref="E205:E210"/>
    <mergeCell ref="F205:F210"/>
    <mergeCell ref="T192:T195"/>
    <mergeCell ref="A197:A204"/>
    <mergeCell ref="B197:B204"/>
    <mergeCell ref="C197:C204"/>
    <mergeCell ref="D197:D204"/>
    <mergeCell ref="E197:E204"/>
    <mergeCell ref="F197:F204"/>
    <mergeCell ref="G197:G204"/>
    <mergeCell ref="S197:S204"/>
    <mergeCell ref="T197:T204"/>
    <mergeCell ref="A192:A195"/>
    <mergeCell ref="B192:B195"/>
    <mergeCell ref="E192:E195"/>
    <mergeCell ref="F192:F195"/>
    <mergeCell ref="G192:G195"/>
    <mergeCell ref="S192:S195"/>
    <mergeCell ref="G184:G186"/>
    <mergeCell ref="S184:S186"/>
    <mergeCell ref="T184:T186"/>
    <mergeCell ref="A187:A191"/>
    <mergeCell ref="B187:B191"/>
    <mergeCell ref="E187:E191"/>
    <mergeCell ref="F187:F191"/>
    <mergeCell ref="G187:G191"/>
    <mergeCell ref="S187:S191"/>
    <mergeCell ref="T187:T191"/>
    <mergeCell ref="A184:A186"/>
    <mergeCell ref="B184:B186"/>
    <mergeCell ref="C184:C186"/>
    <mergeCell ref="D184:D186"/>
    <mergeCell ref="E184:E186"/>
    <mergeCell ref="F184:F186"/>
    <mergeCell ref="T175:T179"/>
    <mergeCell ref="A180:A183"/>
    <mergeCell ref="B180:B183"/>
    <mergeCell ref="E180:E183"/>
    <mergeCell ref="F180:F183"/>
    <mergeCell ref="G180:G183"/>
    <mergeCell ref="S180:S183"/>
    <mergeCell ref="T180:T183"/>
    <mergeCell ref="A175:A179"/>
    <mergeCell ref="B175:B179"/>
    <mergeCell ref="E175:E179"/>
    <mergeCell ref="F175:F179"/>
    <mergeCell ref="G175:G179"/>
    <mergeCell ref="S175:S179"/>
    <mergeCell ref="T159:T167"/>
    <mergeCell ref="A169:A174"/>
    <mergeCell ref="B169:B174"/>
    <mergeCell ref="E169:E174"/>
    <mergeCell ref="F169:F174"/>
    <mergeCell ref="G169:G174"/>
    <mergeCell ref="S169:S174"/>
    <mergeCell ref="T169:T174"/>
    <mergeCell ref="A159:A167"/>
    <mergeCell ref="B159:B167"/>
    <mergeCell ref="E159:E167"/>
    <mergeCell ref="F159:F167"/>
    <mergeCell ref="G159:G167"/>
    <mergeCell ref="S159:S167"/>
    <mergeCell ref="G148:G153"/>
    <mergeCell ref="S148:S153"/>
    <mergeCell ref="T148:T153"/>
    <mergeCell ref="A154:A158"/>
    <mergeCell ref="B154:B158"/>
    <mergeCell ref="E154:E158"/>
    <mergeCell ref="F154:F158"/>
    <mergeCell ref="G154:G158"/>
    <mergeCell ref="S154:S158"/>
    <mergeCell ref="T154:T158"/>
    <mergeCell ref="A148:A153"/>
    <mergeCell ref="B148:B153"/>
    <mergeCell ref="C148:C153"/>
    <mergeCell ref="D148:D153"/>
    <mergeCell ref="E148:E153"/>
    <mergeCell ref="F148:F153"/>
    <mergeCell ref="A144:A147"/>
    <mergeCell ref="B144:B147"/>
    <mergeCell ref="E144:E147"/>
    <mergeCell ref="F144:F147"/>
    <mergeCell ref="G144:G147"/>
    <mergeCell ref="S144:S147"/>
    <mergeCell ref="T144:T147"/>
    <mergeCell ref="A141:A143"/>
    <mergeCell ref="B141:B143"/>
    <mergeCell ref="C141:C143"/>
    <mergeCell ref="D141:D143"/>
    <mergeCell ref="E141:E143"/>
    <mergeCell ref="F141:F143"/>
    <mergeCell ref="A139:A140"/>
    <mergeCell ref="B139:B140"/>
    <mergeCell ref="E139:E140"/>
    <mergeCell ref="F139:F140"/>
    <mergeCell ref="G139:G140"/>
    <mergeCell ref="S139:S140"/>
    <mergeCell ref="T139:T140"/>
    <mergeCell ref="G141:G143"/>
    <mergeCell ref="S141:S143"/>
    <mergeCell ref="T141:T143"/>
    <mergeCell ref="U124:U132"/>
    <mergeCell ref="A133:A138"/>
    <mergeCell ref="B133:B138"/>
    <mergeCell ref="C133:C138"/>
    <mergeCell ref="D133:D138"/>
    <mergeCell ref="E133:E138"/>
    <mergeCell ref="F133:F138"/>
    <mergeCell ref="G133:G138"/>
    <mergeCell ref="S133:S138"/>
    <mergeCell ref="T133:T138"/>
    <mergeCell ref="G119:G123"/>
    <mergeCell ref="S119:S123"/>
    <mergeCell ref="T119:T123"/>
    <mergeCell ref="A124:A132"/>
    <mergeCell ref="B124:B132"/>
    <mergeCell ref="C124:C132"/>
    <mergeCell ref="D124:D132"/>
    <mergeCell ref="E124:E132"/>
    <mergeCell ref="F124:F132"/>
    <mergeCell ref="G124:G132"/>
    <mergeCell ref="A119:A123"/>
    <mergeCell ref="B119:B123"/>
    <mergeCell ref="C119:C123"/>
    <mergeCell ref="D119:D123"/>
    <mergeCell ref="E119:E123"/>
    <mergeCell ref="F119:F123"/>
    <mergeCell ref="S124:S132"/>
    <mergeCell ref="T124:T132"/>
    <mergeCell ref="A114:A118"/>
    <mergeCell ref="B114:B118"/>
    <mergeCell ref="C114:C118"/>
    <mergeCell ref="D114:D118"/>
    <mergeCell ref="E114:E118"/>
    <mergeCell ref="F114:F118"/>
    <mergeCell ref="G114:G118"/>
    <mergeCell ref="S114:S118"/>
    <mergeCell ref="T114:T118"/>
    <mergeCell ref="U83:U97"/>
    <mergeCell ref="A99:A113"/>
    <mergeCell ref="B99:B113"/>
    <mergeCell ref="C99:C113"/>
    <mergeCell ref="D99:D113"/>
    <mergeCell ref="E99:E113"/>
    <mergeCell ref="F99:F113"/>
    <mergeCell ref="G99:G113"/>
    <mergeCell ref="S99:S113"/>
    <mergeCell ref="T99:T113"/>
    <mergeCell ref="U99:U113"/>
    <mergeCell ref="A81:A82"/>
    <mergeCell ref="B81:B82"/>
    <mergeCell ref="E81:E82"/>
    <mergeCell ref="F81:F82"/>
    <mergeCell ref="G81:G82"/>
    <mergeCell ref="S81:S82"/>
    <mergeCell ref="T81:T82"/>
    <mergeCell ref="A83:A97"/>
    <mergeCell ref="B83:B97"/>
    <mergeCell ref="C83:C97"/>
    <mergeCell ref="D83:D97"/>
    <mergeCell ref="E83:E97"/>
    <mergeCell ref="F83:F97"/>
    <mergeCell ref="G83:G97"/>
    <mergeCell ref="S83:S97"/>
    <mergeCell ref="T83:T97"/>
    <mergeCell ref="G65:G69"/>
    <mergeCell ref="S65:S68"/>
    <mergeCell ref="T65:T69"/>
    <mergeCell ref="U65:U69"/>
    <mergeCell ref="A70:A77"/>
    <mergeCell ref="B70:B77"/>
    <mergeCell ref="C70:C77"/>
    <mergeCell ref="D70:D77"/>
    <mergeCell ref="E70:E77"/>
    <mergeCell ref="F70:F77"/>
    <mergeCell ref="A65:A69"/>
    <mergeCell ref="B65:B69"/>
    <mergeCell ref="C65:C69"/>
    <mergeCell ref="D65:D69"/>
    <mergeCell ref="E65:E69"/>
    <mergeCell ref="F65:F69"/>
    <mergeCell ref="G70:G77"/>
    <mergeCell ref="S70:S77"/>
    <mergeCell ref="T70:T77"/>
    <mergeCell ref="U70:U77"/>
    <mergeCell ref="U57:U59"/>
    <mergeCell ref="A61:A63"/>
    <mergeCell ref="B61:B63"/>
    <mergeCell ref="E61:E63"/>
    <mergeCell ref="F61:F63"/>
    <mergeCell ref="G61:G63"/>
    <mergeCell ref="S61:S63"/>
    <mergeCell ref="T61:T63"/>
    <mergeCell ref="T54:T56"/>
    <mergeCell ref="A57:A59"/>
    <mergeCell ref="B57:B59"/>
    <mergeCell ref="C57:C59"/>
    <mergeCell ref="D57:D59"/>
    <mergeCell ref="E57:E59"/>
    <mergeCell ref="F57:F59"/>
    <mergeCell ref="G57:G59"/>
    <mergeCell ref="S57:S59"/>
    <mergeCell ref="T57:T59"/>
    <mergeCell ref="S45:S49"/>
    <mergeCell ref="T45:T49"/>
    <mergeCell ref="A54:A56"/>
    <mergeCell ref="B54:B56"/>
    <mergeCell ref="C54:C56"/>
    <mergeCell ref="D54:D56"/>
    <mergeCell ref="E54:E56"/>
    <mergeCell ref="F54:F56"/>
    <mergeCell ref="G54:G56"/>
    <mergeCell ref="S54:S56"/>
    <mergeCell ref="A45:A49"/>
    <mergeCell ref="B45:B49"/>
    <mergeCell ref="C45:C49"/>
    <mergeCell ref="D45:D49"/>
    <mergeCell ref="E45:E49"/>
    <mergeCell ref="F45:F49"/>
    <mergeCell ref="G45:G49"/>
    <mergeCell ref="A42:A44"/>
    <mergeCell ref="B42:B44"/>
    <mergeCell ref="C42:C44"/>
    <mergeCell ref="D42:D44"/>
    <mergeCell ref="E42:E44"/>
    <mergeCell ref="F42:F44"/>
    <mergeCell ref="A39:A41"/>
    <mergeCell ref="B39:B41"/>
    <mergeCell ref="E39:E41"/>
    <mergeCell ref="F39:F41"/>
    <mergeCell ref="G39:G41"/>
    <mergeCell ref="S39:S41"/>
    <mergeCell ref="T39:T41"/>
    <mergeCell ref="G42:G44"/>
    <mergeCell ref="S42:S44"/>
    <mergeCell ref="T42:T44"/>
    <mergeCell ref="G27:G31"/>
    <mergeCell ref="S27:S31"/>
    <mergeCell ref="T27:T31"/>
    <mergeCell ref="S32:S38"/>
    <mergeCell ref="T32:T38"/>
    <mergeCell ref="A32:A38"/>
    <mergeCell ref="B32:B38"/>
    <mergeCell ref="C32:C38"/>
    <mergeCell ref="D32:D38"/>
    <mergeCell ref="E32:E38"/>
    <mergeCell ref="F32:F38"/>
    <mergeCell ref="G32:G38"/>
    <mergeCell ref="A27:A31"/>
    <mergeCell ref="B27:B31"/>
    <mergeCell ref="C27:C31"/>
    <mergeCell ref="D27:D31"/>
    <mergeCell ref="E27:E31"/>
    <mergeCell ref="F27:F31"/>
    <mergeCell ref="E17:E21"/>
    <mergeCell ref="F17:F21"/>
    <mergeCell ref="G17:G21"/>
    <mergeCell ref="S17:S21"/>
    <mergeCell ref="T17:T21"/>
    <mergeCell ref="U17:U21"/>
    <mergeCell ref="A23:A26"/>
    <mergeCell ref="B23:B26"/>
    <mergeCell ref="C23:C26"/>
    <mergeCell ref="D23:D26"/>
    <mergeCell ref="E23:E26"/>
    <mergeCell ref="F23:F26"/>
    <mergeCell ref="G23:G26"/>
    <mergeCell ref="S23:S26"/>
    <mergeCell ref="T23:T26"/>
    <mergeCell ref="T7:T8"/>
    <mergeCell ref="A9:A16"/>
    <mergeCell ref="B9:B16"/>
    <mergeCell ref="C9:C16"/>
    <mergeCell ref="D9:D16"/>
    <mergeCell ref="E9:E16"/>
    <mergeCell ref="F9:F16"/>
    <mergeCell ref="G9:G16"/>
    <mergeCell ref="S9:S16"/>
    <mergeCell ref="T9:T16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N4:N5"/>
    <mergeCell ref="O4:O5"/>
    <mergeCell ref="P4:P5"/>
    <mergeCell ref="Q4:Q5"/>
    <mergeCell ref="R4:R5"/>
    <mergeCell ref="D231:F231"/>
    <mergeCell ref="D234:I234"/>
    <mergeCell ref="D235:I235"/>
    <mergeCell ref="B237:I237"/>
    <mergeCell ref="A1:S1"/>
    <mergeCell ref="A2:A5"/>
    <mergeCell ref="B2:B5"/>
    <mergeCell ref="C2:Q2"/>
    <mergeCell ref="R2:R3"/>
    <mergeCell ref="S2:S5"/>
    <mergeCell ref="I4:J4"/>
    <mergeCell ref="K4:K5"/>
    <mergeCell ref="L4:L5"/>
    <mergeCell ref="M4:M5"/>
    <mergeCell ref="A7:A8"/>
    <mergeCell ref="B7:B8"/>
    <mergeCell ref="E7:E8"/>
    <mergeCell ref="F7:F8"/>
    <mergeCell ref="G7:G8"/>
    <mergeCell ref="S7:S8"/>
    <mergeCell ref="A17:A21"/>
    <mergeCell ref="B17:B21"/>
    <mergeCell ref="C17:C21"/>
    <mergeCell ref="D17:D2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D0918-E179-4773-A1FF-3EC6EBB2A49A}">
  <dimension ref="A1:AF158"/>
  <sheetViews>
    <sheetView topLeftCell="A2" workbookViewId="0">
      <selection activeCell="V5" sqref="V5"/>
    </sheetView>
  </sheetViews>
  <sheetFormatPr defaultColWidth="8.88671875" defaultRowHeight="13.8" x14ac:dyDescent="0.25"/>
  <cols>
    <col min="1" max="1" width="16.109375" style="469" customWidth="1"/>
    <col min="2" max="2" width="44.109375" style="464" bestFit="1" customWidth="1"/>
    <col min="3" max="3" width="10.33203125" style="59" customWidth="1"/>
    <col min="4" max="7" width="8.88671875" style="59"/>
    <col min="8" max="8" width="9.33203125" style="59" bestFit="1" customWidth="1"/>
    <col min="9" max="9" width="22.88671875" style="59" customWidth="1"/>
    <col min="10" max="10" width="11.6640625" style="59" customWidth="1"/>
    <col min="11" max="11" width="8.88671875" style="59"/>
    <col min="12" max="12" width="9.33203125" style="59" customWidth="1"/>
    <col min="13" max="13" width="10.88671875" style="59" customWidth="1"/>
    <col min="14" max="14" width="12.33203125" style="59" customWidth="1"/>
    <col min="15" max="15" width="13.88671875" style="59" bestFit="1" customWidth="1"/>
    <col min="16" max="16" width="8.88671875" style="59"/>
    <col min="17" max="17" width="7.6640625" style="59" customWidth="1"/>
    <col min="18" max="18" width="16.44140625" style="59" customWidth="1"/>
    <col min="19" max="19" width="10.33203125" style="59" customWidth="1"/>
    <col min="20" max="20" width="23.6640625" style="304" customWidth="1"/>
    <col min="21" max="21" width="14.88671875" style="304" customWidth="1"/>
    <col min="22" max="16384" width="8.88671875" style="59"/>
  </cols>
  <sheetData>
    <row r="1" spans="1:21" ht="187.5" hidden="1" customHeight="1" thickBot="1" x14ac:dyDescent="0.3">
      <c r="A1" s="520"/>
    </row>
    <row r="2" spans="1:21" ht="18" customHeight="1" thickBot="1" x14ac:dyDescent="0.3">
      <c r="A2" s="755" t="s">
        <v>595</v>
      </c>
      <c r="B2" s="755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755"/>
      <c r="N2" s="755"/>
      <c r="O2" s="755"/>
      <c r="P2" s="755"/>
      <c r="Q2" s="755"/>
      <c r="R2" s="755"/>
      <c r="S2" s="755"/>
      <c r="T2" s="755"/>
      <c r="U2" s="755"/>
    </row>
    <row r="3" spans="1:21" ht="32.25" customHeight="1" thickBot="1" x14ac:dyDescent="0.3">
      <c r="A3" s="704" t="s">
        <v>1</v>
      </c>
      <c r="B3" s="716" t="s">
        <v>2</v>
      </c>
      <c r="C3" s="756" t="s">
        <v>3</v>
      </c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8"/>
      <c r="R3" s="716" t="s">
        <v>4</v>
      </c>
      <c r="S3" s="760" t="s">
        <v>5</v>
      </c>
      <c r="T3" s="760" t="s">
        <v>207</v>
      </c>
      <c r="U3" s="760" t="s">
        <v>207</v>
      </c>
    </row>
    <row r="4" spans="1:21" ht="24" customHeight="1" thickBot="1" x14ac:dyDescent="0.3">
      <c r="A4" s="722"/>
      <c r="B4" s="717"/>
      <c r="C4" s="762" t="s">
        <v>8</v>
      </c>
      <c r="D4" s="703"/>
      <c r="E4" s="703"/>
      <c r="F4" s="703"/>
      <c r="G4" s="707"/>
      <c r="H4" s="702" t="s">
        <v>9</v>
      </c>
      <c r="I4" s="703"/>
      <c r="J4" s="703"/>
      <c r="K4" s="703"/>
      <c r="L4" s="703"/>
      <c r="M4" s="703"/>
      <c r="N4" s="703"/>
      <c r="O4" s="707"/>
      <c r="P4" s="702" t="s">
        <v>10</v>
      </c>
      <c r="Q4" s="707"/>
      <c r="R4" s="759"/>
      <c r="S4" s="760"/>
      <c r="T4" s="760"/>
      <c r="U4" s="760"/>
    </row>
    <row r="5" spans="1:21" ht="48.75" customHeight="1" thickBot="1" x14ac:dyDescent="0.3">
      <c r="A5" s="722"/>
      <c r="B5" s="717"/>
      <c r="C5" s="762" t="s">
        <v>11</v>
      </c>
      <c r="D5" s="707"/>
      <c r="E5" s="700" t="s">
        <v>12</v>
      </c>
      <c r="F5" s="700" t="s">
        <v>208</v>
      </c>
      <c r="G5" s="700" t="s">
        <v>14</v>
      </c>
      <c r="H5" s="700" t="s">
        <v>15</v>
      </c>
      <c r="I5" s="702" t="s">
        <v>16</v>
      </c>
      <c r="J5" s="707"/>
      <c r="K5" s="700" t="s">
        <v>17</v>
      </c>
      <c r="L5" s="700" t="s">
        <v>208</v>
      </c>
      <c r="M5" s="700" t="s">
        <v>209</v>
      </c>
      <c r="N5" s="700" t="s">
        <v>19</v>
      </c>
      <c r="O5" s="700" t="s">
        <v>210</v>
      </c>
      <c r="P5" s="700" t="s">
        <v>211</v>
      </c>
      <c r="Q5" s="700" t="s">
        <v>17</v>
      </c>
      <c r="R5" s="720" t="s">
        <v>21</v>
      </c>
      <c r="S5" s="760"/>
      <c r="T5" s="760"/>
      <c r="U5" s="760"/>
    </row>
    <row r="6" spans="1:21" ht="27" thickBot="1" x14ac:dyDescent="0.3">
      <c r="A6" s="722"/>
      <c r="B6" s="717"/>
      <c r="C6" s="104" t="s">
        <v>22</v>
      </c>
      <c r="D6" s="105" t="s">
        <v>23</v>
      </c>
      <c r="E6" s="701"/>
      <c r="F6" s="701"/>
      <c r="G6" s="701"/>
      <c r="H6" s="701"/>
      <c r="I6" s="105" t="s">
        <v>24</v>
      </c>
      <c r="J6" s="105" t="s">
        <v>25</v>
      </c>
      <c r="K6" s="701"/>
      <c r="L6" s="701"/>
      <c r="M6" s="701"/>
      <c r="N6" s="701"/>
      <c r="O6" s="701"/>
      <c r="P6" s="701"/>
      <c r="Q6" s="701"/>
      <c r="R6" s="717"/>
      <c r="S6" s="761"/>
      <c r="T6" s="761"/>
      <c r="U6" s="761"/>
    </row>
    <row r="7" spans="1:21" s="138" customFormat="1" ht="12.6" thickBot="1" x14ac:dyDescent="0.3">
      <c r="A7" s="106">
        <v>1</v>
      </c>
      <c r="B7" s="107">
        <v>2</v>
      </c>
      <c r="C7" s="108">
        <v>3</v>
      </c>
      <c r="D7" s="109">
        <v>4</v>
      </c>
      <c r="E7" s="109">
        <v>5</v>
      </c>
      <c r="F7" s="109">
        <v>6</v>
      </c>
      <c r="G7" s="109">
        <v>7</v>
      </c>
      <c r="H7" s="109">
        <v>8</v>
      </c>
      <c r="I7" s="109">
        <v>9</v>
      </c>
      <c r="J7" s="109">
        <v>10</v>
      </c>
      <c r="K7" s="109">
        <v>11</v>
      </c>
      <c r="L7" s="109">
        <v>12</v>
      </c>
      <c r="M7" s="109">
        <v>13</v>
      </c>
      <c r="N7" s="109">
        <v>14</v>
      </c>
      <c r="O7" s="109">
        <v>15</v>
      </c>
      <c r="P7" s="109">
        <v>16</v>
      </c>
      <c r="Q7" s="109">
        <v>17</v>
      </c>
      <c r="R7" s="107">
        <v>18</v>
      </c>
      <c r="S7" s="77">
        <v>19</v>
      </c>
      <c r="T7" s="77">
        <v>20</v>
      </c>
      <c r="U7" s="110">
        <v>21</v>
      </c>
    </row>
    <row r="8" spans="1:21" ht="60.6" thickBot="1" x14ac:dyDescent="0.3">
      <c r="A8" s="22" t="s">
        <v>596</v>
      </c>
      <c r="B8" s="23" t="s">
        <v>597</v>
      </c>
      <c r="C8" s="24">
        <v>0</v>
      </c>
      <c r="D8" s="24">
        <v>4.5199999999999996</v>
      </c>
      <c r="E8" s="24">
        <v>4.5199999999999996</v>
      </c>
      <c r="F8" s="27">
        <f>E8*4400</f>
        <v>19887.999999999996</v>
      </c>
      <c r="G8" s="27" t="s">
        <v>32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111" t="s">
        <v>598</v>
      </c>
      <c r="S8" s="27"/>
      <c r="T8" s="3" t="s">
        <v>31</v>
      </c>
      <c r="U8" s="5"/>
    </row>
    <row r="9" spans="1:21" ht="84.6" thickBot="1" x14ac:dyDescent="0.3">
      <c r="A9" s="22" t="s">
        <v>599</v>
      </c>
      <c r="B9" s="23" t="s">
        <v>600</v>
      </c>
      <c r="C9" s="24">
        <v>0</v>
      </c>
      <c r="D9" s="24">
        <v>2.64</v>
      </c>
      <c r="E9" s="24">
        <v>2.64</v>
      </c>
      <c r="F9" s="27">
        <f>E9*3900</f>
        <v>10296</v>
      </c>
      <c r="G9" s="27" t="s">
        <v>32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111" t="s">
        <v>601</v>
      </c>
      <c r="S9" s="3"/>
      <c r="T9" s="3" t="s">
        <v>31</v>
      </c>
      <c r="U9" s="5" t="s">
        <v>67</v>
      </c>
    </row>
    <row r="10" spans="1:21" ht="48.6" thickBot="1" x14ac:dyDescent="0.3">
      <c r="A10" s="22" t="s">
        <v>602</v>
      </c>
      <c r="B10" s="23" t="s">
        <v>603</v>
      </c>
      <c r="C10" s="24">
        <v>0</v>
      </c>
      <c r="D10" s="24">
        <v>0.72</v>
      </c>
      <c r="E10" s="24">
        <v>0.72</v>
      </c>
      <c r="F10" s="27">
        <f>E10*4000</f>
        <v>2880</v>
      </c>
      <c r="G10" s="27" t="s">
        <v>32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111" t="s">
        <v>604</v>
      </c>
      <c r="S10" s="3"/>
      <c r="T10" s="3" t="s">
        <v>31</v>
      </c>
      <c r="U10" s="5"/>
    </row>
    <row r="11" spans="1:21" ht="48.6" thickBot="1" x14ac:dyDescent="0.3">
      <c r="A11" s="112" t="s">
        <v>605</v>
      </c>
      <c r="B11" s="23" t="s">
        <v>606</v>
      </c>
      <c r="C11" s="24">
        <v>0</v>
      </c>
      <c r="D11" s="24">
        <v>0.88</v>
      </c>
      <c r="E11" s="24">
        <v>0.88</v>
      </c>
      <c r="F11" s="27">
        <f>E11*3000</f>
        <v>2640</v>
      </c>
      <c r="G11" s="3" t="s">
        <v>607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111" t="s">
        <v>608</v>
      </c>
      <c r="S11" s="3"/>
      <c r="T11" s="3" t="s">
        <v>31</v>
      </c>
      <c r="U11" s="110"/>
    </row>
    <row r="12" spans="1:21" ht="48.6" thickBot="1" x14ac:dyDescent="0.3">
      <c r="A12" s="22" t="s">
        <v>609</v>
      </c>
      <c r="B12" s="23" t="s">
        <v>610</v>
      </c>
      <c r="C12" s="24">
        <v>0</v>
      </c>
      <c r="D12" s="24">
        <v>0.43</v>
      </c>
      <c r="E12" s="24">
        <v>0.43</v>
      </c>
      <c r="F12" s="27">
        <f>E12*3000</f>
        <v>1290</v>
      </c>
      <c r="G12" s="27" t="s">
        <v>32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111" t="s">
        <v>611</v>
      </c>
      <c r="S12" s="27"/>
      <c r="T12" s="3" t="s">
        <v>31</v>
      </c>
      <c r="U12" s="5" t="s">
        <v>67</v>
      </c>
    </row>
    <row r="13" spans="1:21" ht="48.6" thickBot="1" x14ac:dyDescent="0.3">
      <c r="A13" s="22" t="s">
        <v>612</v>
      </c>
      <c r="B13" s="23" t="s">
        <v>613</v>
      </c>
      <c r="C13" s="24">
        <v>0</v>
      </c>
      <c r="D13" s="24">
        <v>0.22</v>
      </c>
      <c r="E13" s="24">
        <v>0.22</v>
      </c>
      <c r="F13" s="27">
        <f>E13*3000</f>
        <v>660</v>
      </c>
      <c r="G13" s="27" t="s">
        <v>32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111" t="s">
        <v>614</v>
      </c>
      <c r="S13" s="27"/>
      <c r="T13" s="3" t="s">
        <v>31</v>
      </c>
      <c r="U13" s="5"/>
    </row>
    <row r="14" spans="1:21" ht="48.6" thickBot="1" x14ac:dyDescent="0.3">
      <c r="A14" s="112" t="s">
        <v>615</v>
      </c>
      <c r="B14" s="23" t="s">
        <v>616</v>
      </c>
      <c r="C14" s="24">
        <v>0</v>
      </c>
      <c r="D14" s="24">
        <v>0.62</v>
      </c>
      <c r="E14" s="24">
        <v>0.62</v>
      </c>
      <c r="F14" s="27">
        <f>E14*3000</f>
        <v>1860</v>
      </c>
      <c r="G14" s="27" t="s">
        <v>32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111">
        <v>70270010047</v>
      </c>
      <c r="S14" s="27"/>
      <c r="T14" s="3" t="s">
        <v>31</v>
      </c>
      <c r="U14" s="110"/>
    </row>
    <row r="15" spans="1:21" ht="48.6" thickBot="1" x14ac:dyDescent="0.3">
      <c r="A15" s="22" t="s">
        <v>617</v>
      </c>
      <c r="B15" s="23" t="s">
        <v>618</v>
      </c>
      <c r="C15" s="24">
        <v>0</v>
      </c>
      <c r="D15" s="24">
        <v>0.43</v>
      </c>
      <c r="E15" s="24">
        <v>0.43</v>
      </c>
      <c r="F15" s="113">
        <f>E15*2900</f>
        <v>1247</v>
      </c>
      <c r="G15" s="114" t="s">
        <v>32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111" t="s">
        <v>619</v>
      </c>
      <c r="S15" s="27"/>
      <c r="T15" s="3" t="s">
        <v>31</v>
      </c>
      <c r="U15" s="110"/>
    </row>
    <row r="16" spans="1:21" ht="48.6" thickBot="1" x14ac:dyDescent="0.3">
      <c r="A16" s="22" t="s">
        <v>620</v>
      </c>
      <c r="B16" s="23" t="s">
        <v>621</v>
      </c>
      <c r="C16" s="24">
        <v>0</v>
      </c>
      <c r="D16" s="24">
        <v>0.41</v>
      </c>
      <c r="E16" s="24">
        <v>0.41</v>
      </c>
      <c r="F16" s="113">
        <f>E16*2900</f>
        <v>1189</v>
      </c>
      <c r="G16" s="114" t="s">
        <v>32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111" t="s">
        <v>622</v>
      </c>
      <c r="S16" s="27"/>
      <c r="T16" s="3" t="s">
        <v>31</v>
      </c>
      <c r="U16" s="110"/>
    </row>
    <row r="17" spans="1:21" ht="48.6" thickBot="1" x14ac:dyDescent="0.3">
      <c r="A17" s="112" t="s">
        <v>623</v>
      </c>
      <c r="B17" s="23" t="s">
        <v>624</v>
      </c>
      <c r="C17" s="24">
        <v>0</v>
      </c>
      <c r="D17" s="24">
        <v>0.46</v>
      </c>
      <c r="E17" s="24">
        <v>0.46</v>
      </c>
      <c r="F17" s="27">
        <f>E17*4000</f>
        <v>1840</v>
      </c>
      <c r="G17" s="27" t="s">
        <v>32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111" t="s">
        <v>625</v>
      </c>
      <c r="S17" s="27"/>
      <c r="T17" s="3" t="s">
        <v>31</v>
      </c>
      <c r="U17" s="5" t="s">
        <v>67</v>
      </c>
    </row>
    <row r="18" spans="1:21" ht="48.6" thickBot="1" x14ac:dyDescent="0.3">
      <c r="A18" s="22" t="s">
        <v>626</v>
      </c>
      <c r="B18" s="23" t="s">
        <v>627</v>
      </c>
      <c r="C18" s="24">
        <v>0</v>
      </c>
      <c r="D18" s="24">
        <v>2.35</v>
      </c>
      <c r="E18" s="24">
        <v>2.35</v>
      </c>
      <c r="F18" s="27">
        <f>E18*4000</f>
        <v>9400</v>
      </c>
      <c r="G18" s="27" t="s">
        <v>32</v>
      </c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111" t="s">
        <v>628</v>
      </c>
      <c r="S18" s="27"/>
      <c r="T18" s="3" t="s">
        <v>31</v>
      </c>
      <c r="U18" s="110"/>
    </row>
    <row r="19" spans="1:21" ht="48.6" thickBot="1" x14ac:dyDescent="0.3">
      <c r="A19" s="22" t="s">
        <v>629</v>
      </c>
      <c r="B19" s="23" t="s">
        <v>630</v>
      </c>
      <c r="C19" s="24">
        <v>0</v>
      </c>
      <c r="D19" s="24">
        <v>1.08</v>
      </c>
      <c r="E19" s="24">
        <v>1.08</v>
      </c>
      <c r="F19" s="27">
        <f>E19*4000</f>
        <v>4320</v>
      </c>
      <c r="G19" s="27" t="s">
        <v>32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111" t="s">
        <v>631</v>
      </c>
      <c r="S19" s="27"/>
      <c r="T19" s="3" t="s">
        <v>31</v>
      </c>
      <c r="U19" s="5" t="s">
        <v>67</v>
      </c>
    </row>
    <row r="20" spans="1:21" ht="48.6" thickBot="1" x14ac:dyDescent="0.3">
      <c r="A20" s="22" t="s">
        <v>632</v>
      </c>
      <c r="B20" s="23" t="s">
        <v>633</v>
      </c>
      <c r="C20" s="24">
        <v>0</v>
      </c>
      <c r="D20" s="24">
        <v>0.53</v>
      </c>
      <c r="E20" s="24">
        <v>0.53</v>
      </c>
      <c r="F20" s="27">
        <f>E20*3000</f>
        <v>1590</v>
      </c>
      <c r="G20" s="27" t="s">
        <v>32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111" t="s">
        <v>634</v>
      </c>
      <c r="S20" s="27"/>
      <c r="T20" s="3" t="s">
        <v>31</v>
      </c>
      <c r="U20" s="110"/>
    </row>
    <row r="21" spans="1:21" ht="48.6" thickBot="1" x14ac:dyDescent="0.3">
      <c r="A21" s="22" t="s">
        <v>635</v>
      </c>
      <c r="B21" s="23" t="s">
        <v>636</v>
      </c>
      <c r="C21" s="24">
        <v>0</v>
      </c>
      <c r="D21" s="24">
        <v>0.22</v>
      </c>
      <c r="E21" s="24">
        <v>0.22</v>
      </c>
      <c r="F21" s="27">
        <f>E21*4000</f>
        <v>880</v>
      </c>
      <c r="G21" s="27" t="s">
        <v>32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111" t="s">
        <v>637</v>
      </c>
      <c r="S21" s="27"/>
      <c r="T21" s="3" t="s">
        <v>31</v>
      </c>
      <c r="U21" s="110"/>
    </row>
    <row r="22" spans="1:21" ht="48.6" thickBot="1" x14ac:dyDescent="0.3">
      <c r="A22" s="22" t="s">
        <v>638</v>
      </c>
      <c r="B22" s="23" t="s">
        <v>639</v>
      </c>
      <c r="C22" s="24">
        <v>0</v>
      </c>
      <c r="D22" s="24">
        <v>0.59</v>
      </c>
      <c r="E22" s="24">
        <v>0.59</v>
      </c>
      <c r="F22" s="27">
        <f>E22*3500</f>
        <v>2065</v>
      </c>
      <c r="G22" s="27" t="s">
        <v>32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111" t="s">
        <v>640</v>
      </c>
      <c r="S22" s="27"/>
      <c r="T22" s="3" t="s">
        <v>31</v>
      </c>
      <c r="U22" s="110"/>
    </row>
    <row r="23" spans="1:21" ht="48.6" thickBot="1" x14ac:dyDescent="0.3">
      <c r="A23" s="22" t="s">
        <v>641</v>
      </c>
      <c r="B23" s="23" t="s">
        <v>642</v>
      </c>
      <c r="C23" s="24">
        <v>0</v>
      </c>
      <c r="D23" s="24">
        <v>0.84</v>
      </c>
      <c r="E23" s="24">
        <v>0.84</v>
      </c>
      <c r="F23" s="27">
        <f>E23*4850</f>
        <v>4074</v>
      </c>
      <c r="G23" s="27" t="s">
        <v>32</v>
      </c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111" t="s">
        <v>643</v>
      </c>
      <c r="S23" s="27"/>
      <c r="T23" s="3" t="s">
        <v>31</v>
      </c>
      <c r="U23" s="110"/>
    </row>
    <row r="24" spans="1:21" ht="48.6" thickBot="1" x14ac:dyDescent="0.3">
      <c r="A24" s="22" t="s">
        <v>644</v>
      </c>
      <c r="B24" s="23" t="s">
        <v>645</v>
      </c>
      <c r="C24" s="24">
        <v>0</v>
      </c>
      <c r="D24" s="24">
        <v>0.3</v>
      </c>
      <c r="E24" s="24">
        <v>0.3</v>
      </c>
      <c r="F24" s="27">
        <f>E24*2700</f>
        <v>810</v>
      </c>
      <c r="G24" s="3" t="s">
        <v>646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111" t="s">
        <v>647</v>
      </c>
      <c r="S24" s="27"/>
      <c r="T24" s="3" t="s">
        <v>31</v>
      </c>
      <c r="U24" s="110"/>
    </row>
    <row r="25" spans="1:21" ht="48.6" thickBot="1" x14ac:dyDescent="0.3">
      <c r="A25" s="22" t="s">
        <v>648</v>
      </c>
      <c r="B25" s="23" t="s">
        <v>649</v>
      </c>
      <c r="C25" s="24">
        <v>0</v>
      </c>
      <c r="D25" s="24">
        <v>0.25</v>
      </c>
      <c r="E25" s="24">
        <v>0.25</v>
      </c>
      <c r="F25" s="27">
        <f>E25*2900</f>
        <v>725</v>
      </c>
      <c r="G25" s="27" t="s">
        <v>32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111" t="s">
        <v>650</v>
      </c>
      <c r="S25" s="27"/>
      <c r="T25" s="3" t="s">
        <v>31</v>
      </c>
      <c r="U25" s="110"/>
    </row>
    <row r="26" spans="1:21" s="304" customFormat="1" ht="48.6" thickBot="1" x14ac:dyDescent="0.35">
      <c r="A26" s="22" t="s">
        <v>651</v>
      </c>
      <c r="B26" s="23" t="s">
        <v>652</v>
      </c>
      <c r="C26" s="24">
        <v>0</v>
      </c>
      <c r="D26" s="24">
        <v>0.63</v>
      </c>
      <c r="E26" s="24">
        <v>0.63</v>
      </c>
      <c r="F26" s="27">
        <f>E26*2900</f>
        <v>1827</v>
      </c>
      <c r="G26" s="27" t="s">
        <v>32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111" t="s">
        <v>653</v>
      </c>
      <c r="S26" s="27"/>
      <c r="T26" s="3" t="s">
        <v>31</v>
      </c>
      <c r="U26" s="5" t="s">
        <v>67</v>
      </c>
    </row>
    <row r="27" spans="1:21" ht="48.6" thickBot="1" x14ac:dyDescent="0.3">
      <c r="A27" s="22" t="s">
        <v>654</v>
      </c>
      <c r="B27" s="23" t="s">
        <v>655</v>
      </c>
      <c r="C27" s="24">
        <v>0</v>
      </c>
      <c r="D27" s="24">
        <v>0.25</v>
      </c>
      <c r="E27" s="24">
        <v>0.25</v>
      </c>
      <c r="F27" s="27">
        <f>E27*3000</f>
        <v>750</v>
      </c>
      <c r="G27" s="27" t="s">
        <v>32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111" t="s">
        <v>656</v>
      </c>
      <c r="S27" s="27"/>
      <c r="T27" s="3" t="s">
        <v>31</v>
      </c>
      <c r="U27" s="110"/>
    </row>
    <row r="28" spans="1:21" ht="48.6" thickBot="1" x14ac:dyDescent="0.3">
      <c r="A28" s="22" t="s">
        <v>657</v>
      </c>
      <c r="B28" s="23" t="s">
        <v>658</v>
      </c>
      <c r="C28" s="24">
        <v>0</v>
      </c>
      <c r="D28" s="24">
        <v>0.18</v>
      </c>
      <c r="E28" s="24">
        <v>0.18</v>
      </c>
      <c r="F28" s="27">
        <f>E28*2800</f>
        <v>504</v>
      </c>
      <c r="G28" s="27" t="s">
        <v>32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111" t="s">
        <v>659</v>
      </c>
      <c r="S28" s="27"/>
      <c r="T28" s="3" t="s">
        <v>31</v>
      </c>
      <c r="U28" s="110"/>
    </row>
    <row r="29" spans="1:21" ht="48.6" thickBot="1" x14ac:dyDescent="0.3">
      <c r="A29" s="22" t="s">
        <v>660</v>
      </c>
      <c r="B29" s="23" t="s">
        <v>661</v>
      </c>
      <c r="C29" s="24">
        <v>0</v>
      </c>
      <c r="D29" s="24">
        <v>0.37</v>
      </c>
      <c r="E29" s="24">
        <v>0.37</v>
      </c>
      <c r="F29" s="27">
        <f>E29*3000</f>
        <v>1110</v>
      </c>
      <c r="G29" s="27" t="s">
        <v>32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111" t="s">
        <v>662</v>
      </c>
      <c r="S29" s="3"/>
      <c r="T29" s="3" t="s">
        <v>31</v>
      </c>
      <c r="U29" s="5" t="s">
        <v>67</v>
      </c>
    </row>
    <row r="30" spans="1:21" s="1" customFormat="1" ht="14.4" x14ac:dyDescent="0.3">
      <c r="A30" s="666" t="s">
        <v>663</v>
      </c>
      <c r="B30" s="607" t="s">
        <v>664</v>
      </c>
      <c r="C30" s="30">
        <v>0</v>
      </c>
      <c r="D30" s="30">
        <v>0.49</v>
      </c>
      <c r="E30" s="668">
        <v>0.9</v>
      </c>
      <c r="F30" s="727">
        <v>2700</v>
      </c>
      <c r="G30" s="89" t="s">
        <v>32</v>
      </c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3"/>
      <c r="S30" s="33"/>
      <c r="T30" s="33"/>
      <c r="U30" s="35"/>
    </row>
    <row r="31" spans="1:21" s="1" customFormat="1" ht="48.6" thickBot="1" x14ac:dyDescent="0.35">
      <c r="A31" s="667"/>
      <c r="B31" s="609"/>
      <c r="C31" s="16">
        <v>0.49</v>
      </c>
      <c r="D31" s="16">
        <v>0.9</v>
      </c>
      <c r="E31" s="669"/>
      <c r="F31" s="729"/>
      <c r="G31" s="19" t="s">
        <v>788</v>
      </c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20" t="s">
        <v>665</v>
      </c>
      <c r="S31" s="19"/>
      <c r="T31" s="20" t="s">
        <v>31</v>
      </c>
      <c r="U31" s="129"/>
    </row>
    <row r="32" spans="1:21" s="1" customFormat="1" ht="48.6" thickBot="1" x14ac:dyDescent="0.35">
      <c r="A32" s="55" t="s">
        <v>666</v>
      </c>
      <c r="B32" s="45" t="s">
        <v>667</v>
      </c>
      <c r="C32" s="56">
        <v>0</v>
      </c>
      <c r="D32" s="56">
        <v>0.21099999999999999</v>
      </c>
      <c r="E32" s="56">
        <v>0.21</v>
      </c>
      <c r="F32" s="94">
        <v>2400</v>
      </c>
      <c r="G32" s="94" t="s">
        <v>32</v>
      </c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125">
        <v>70270140131</v>
      </c>
      <c r="S32" s="94"/>
      <c r="T32" s="57" t="s">
        <v>31</v>
      </c>
      <c r="U32" s="58"/>
    </row>
    <row r="33" spans="1:21" ht="48.6" thickBot="1" x14ac:dyDescent="0.3">
      <c r="A33" s="22" t="s">
        <v>668</v>
      </c>
      <c r="B33" s="23" t="s">
        <v>669</v>
      </c>
      <c r="C33" s="24">
        <v>0</v>
      </c>
      <c r="D33" s="24">
        <v>0.28000000000000003</v>
      </c>
      <c r="E33" s="24">
        <v>0.28000000000000003</v>
      </c>
      <c r="F33" s="27">
        <f>E33*2800</f>
        <v>784.00000000000011</v>
      </c>
      <c r="G33" s="27" t="s">
        <v>32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111" t="s">
        <v>670</v>
      </c>
      <c r="S33" s="27"/>
      <c r="T33" s="3" t="s">
        <v>31</v>
      </c>
      <c r="U33" s="115"/>
    </row>
    <row r="34" spans="1:21" ht="48.6" thickBot="1" x14ac:dyDescent="0.3">
      <c r="A34" s="22" t="s">
        <v>671</v>
      </c>
      <c r="B34" s="23" t="s">
        <v>672</v>
      </c>
      <c r="C34" s="24">
        <v>0</v>
      </c>
      <c r="D34" s="24">
        <v>0.54</v>
      </c>
      <c r="E34" s="24">
        <v>0.54</v>
      </c>
      <c r="F34" s="27">
        <f>E34*3400</f>
        <v>1836.0000000000002</v>
      </c>
      <c r="G34" s="27" t="s">
        <v>32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111" t="s">
        <v>673</v>
      </c>
      <c r="S34" s="27"/>
      <c r="T34" s="3" t="s">
        <v>31</v>
      </c>
      <c r="U34" s="110"/>
    </row>
    <row r="35" spans="1:21" ht="48.6" thickBot="1" x14ac:dyDescent="0.3">
      <c r="A35" s="22" t="s">
        <v>674</v>
      </c>
      <c r="B35" s="23" t="s">
        <v>675</v>
      </c>
      <c r="C35" s="24">
        <v>0</v>
      </c>
      <c r="D35" s="24">
        <v>0.78</v>
      </c>
      <c r="E35" s="24">
        <v>0.78</v>
      </c>
      <c r="F35" s="27">
        <f>E35*3200</f>
        <v>2496</v>
      </c>
      <c r="G35" s="27" t="s">
        <v>32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111" t="s">
        <v>676</v>
      </c>
      <c r="S35" s="27"/>
      <c r="T35" s="3" t="s">
        <v>31</v>
      </c>
      <c r="U35" s="110"/>
    </row>
    <row r="36" spans="1:21" ht="48.6" thickBot="1" x14ac:dyDescent="0.3">
      <c r="A36" s="22" t="s">
        <v>677</v>
      </c>
      <c r="B36" s="23" t="s">
        <v>678</v>
      </c>
      <c r="C36" s="24">
        <v>0</v>
      </c>
      <c r="D36" s="24">
        <v>0.72</v>
      </c>
      <c r="E36" s="24">
        <v>0.72</v>
      </c>
      <c r="F36" s="27">
        <f>E36*3000</f>
        <v>2160</v>
      </c>
      <c r="G36" s="27" t="s">
        <v>32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111" t="s">
        <v>679</v>
      </c>
      <c r="S36" s="3"/>
      <c r="T36" s="3" t="s">
        <v>31</v>
      </c>
      <c r="U36" s="5" t="s">
        <v>67</v>
      </c>
    </row>
    <row r="37" spans="1:21" ht="48.6" thickBot="1" x14ac:dyDescent="0.3">
      <c r="A37" s="22" t="s">
        <v>680</v>
      </c>
      <c r="B37" s="23" t="s">
        <v>681</v>
      </c>
      <c r="C37" s="24">
        <v>0</v>
      </c>
      <c r="D37" s="24">
        <v>0.23</v>
      </c>
      <c r="E37" s="24">
        <v>0.23</v>
      </c>
      <c r="F37" s="27">
        <f>E37*3000</f>
        <v>690</v>
      </c>
      <c r="G37" s="27" t="s">
        <v>32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111" t="s">
        <v>682</v>
      </c>
      <c r="S37" s="27"/>
      <c r="T37" s="3" t="s">
        <v>31</v>
      </c>
      <c r="U37" s="110"/>
    </row>
    <row r="38" spans="1:21" s="304" customFormat="1" ht="48.6" thickBot="1" x14ac:dyDescent="0.35">
      <c r="A38" s="22" t="s">
        <v>683</v>
      </c>
      <c r="B38" s="23" t="s">
        <v>684</v>
      </c>
      <c r="C38" s="24">
        <v>0</v>
      </c>
      <c r="D38" s="24">
        <v>0.32</v>
      </c>
      <c r="E38" s="24">
        <v>0.32</v>
      </c>
      <c r="F38" s="27">
        <f>E38*3000</f>
        <v>960</v>
      </c>
      <c r="G38" s="27" t="s">
        <v>32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111" t="s">
        <v>685</v>
      </c>
      <c r="S38" s="27"/>
      <c r="T38" s="3" t="s">
        <v>31</v>
      </c>
      <c r="U38" s="110"/>
    </row>
    <row r="39" spans="1:21" ht="48.6" thickBot="1" x14ac:dyDescent="0.3">
      <c r="A39" s="22" t="s">
        <v>686</v>
      </c>
      <c r="B39" s="23" t="s">
        <v>687</v>
      </c>
      <c r="C39" s="24">
        <v>0</v>
      </c>
      <c r="D39" s="24">
        <v>0.77</v>
      </c>
      <c r="E39" s="24">
        <v>0.77</v>
      </c>
      <c r="F39" s="113">
        <f>E39*3000</f>
        <v>2310</v>
      </c>
      <c r="G39" s="114" t="s">
        <v>32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111" t="s">
        <v>688</v>
      </c>
      <c r="S39" s="27"/>
      <c r="T39" s="3" t="s">
        <v>31</v>
      </c>
      <c r="U39" s="110"/>
    </row>
    <row r="40" spans="1:21" ht="48.6" thickBot="1" x14ac:dyDescent="0.3">
      <c r="A40" s="22" t="s">
        <v>689</v>
      </c>
      <c r="B40" s="23" t="s">
        <v>690</v>
      </c>
      <c r="C40" s="24">
        <v>0</v>
      </c>
      <c r="D40" s="24">
        <v>0.36</v>
      </c>
      <c r="E40" s="24">
        <v>0.36</v>
      </c>
      <c r="F40" s="27">
        <f>E40*2800</f>
        <v>1008</v>
      </c>
      <c r="G40" s="27" t="s">
        <v>32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111" t="s">
        <v>691</v>
      </c>
      <c r="S40" s="27"/>
      <c r="T40" s="3" t="s">
        <v>31</v>
      </c>
      <c r="U40" s="110"/>
    </row>
    <row r="41" spans="1:21" s="304" customFormat="1" ht="48.6" thickBot="1" x14ac:dyDescent="0.35">
      <c r="A41" s="22" t="s">
        <v>692</v>
      </c>
      <c r="B41" s="23" t="s">
        <v>693</v>
      </c>
      <c r="C41" s="24">
        <v>0</v>
      </c>
      <c r="D41" s="24">
        <v>0.72</v>
      </c>
      <c r="E41" s="24">
        <v>0.72</v>
      </c>
      <c r="F41" s="27">
        <f>E41*2950</f>
        <v>2124</v>
      </c>
      <c r="G41" s="27" t="s">
        <v>32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3" t="s">
        <v>694</v>
      </c>
      <c r="S41" s="27"/>
      <c r="T41" s="3" t="s">
        <v>31</v>
      </c>
      <c r="U41" s="110"/>
    </row>
    <row r="42" spans="1:21" ht="48.6" thickBot="1" x14ac:dyDescent="0.3">
      <c r="A42" s="22" t="s">
        <v>695</v>
      </c>
      <c r="B42" s="23" t="s">
        <v>696</v>
      </c>
      <c r="C42" s="24">
        <v>0</v>
      </c>
      <c r="D42" s="24">
        <v>0.3</v>
      </c>
      <c r="E42" s="24">
        <v>0.3</v>
      </c>
      <c r="F42" s="113">
        <f>E42*2500</f>
        <v>750</v>
      </c>
      <c r="G42" s="114" t="s">
        <v>32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111" t="s">
        <v>697</v>
      </c>
      <c r="S42" s="27"/>
      <c r="T42" s="3" t="s">
        <v>31</v>
      </c>
      <c r="U42" s="110"/>
    </row>
    <row r="43" spans="1:21" ht="48.6" thickBot="1" x14ac:dyDescent="0.3">
      <c r="A43" s="22" t="s">
        <v>698</v>
      </c>
      <c r="B43" s="23" t="s">
        <v>699</v>
      </c>
      <c r="C43" s="24">
        <v>0</v>
      </c>
      <c r="D43" s="24">
        <v>0.12</v>
      </c>
      <c r="E43" s="24">
        <v>0.12</v>
      </c>
      <c r="F43" s="25">
        <f>E43*2780</f>
        <v>333.59999999999997</v>
      </c>
      <c r="G43" s="27" t="s">
        <v>32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111">
        <v>70270080210</v>
      </c>
      <c r="S43" s="27"/>
      <c r="T43" s="3" t="s">
        <v>31</v>
      </c>
      <c r="U43" s="5" t="s">
        <v>700</v>
      </c>
    </row>
    <row r="44" spans="1:21" ht="48.6" thickBot="1" x14ac:dyDescent="0.3">
      <c r="A44" s="22" t="s">
        <v>701</v>
      </c>
      <c r="B44" s="23" t="s">
        <v>702</v>
      </c>
      <c r="C44" s="24">
        <v>0</v>
      </c>
      <c r="D44" s="24">
        <v>1.5</v>
      </c>
      <c r="E44" s="24">
        <v>1.5</v>
      </c>
      <c r="F44" s="27">
        <f>E44*4160</f>
        <v>6240</v>
      </c>
      <c r="G44" s="27" t="s">
        <v>32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111">
        <v>70270040106</v>
      </c>
      <c r="S44" s="27"/>
      <c r="T44" s="3" t="s">
        <v>31</v>
      </c>
      <c r="U44" s="110"/>
    </row>
    <row r="45" spans="1:21" ht="48.6" thickBot="1" x14ac:dyDescent="0.3">
      <c r="A45" s="22" t="s">
        <v>703</v>
      </c>
      <c r="B45" s="23" t="s">
        <v>704</v>
      </c>
      <c r="C45" s="24">
        <v>0</v>
      </c>
      <c r="D45" s="24">
        <v>0.9</v>
      </c>
      <c r="E45" s="24">
        <v>0.9</v>
      </c>
      <c r="F45" s="27">
        <f>E45*4500</f>
        <v>4050</v>
      </c>
      <c r="G45" s="27" t="s">
        <v>32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111" t="s">
        <v>705</v>
      </c>
      <c r="S45" s="27"/>
      <c r="T45" s="3" t="s">
        <v>31</v>
      </c>
      <c r="U45" s="5"/>
    </row>
    <row r="46" spans="1:21" ht="48.6" thickBot="1" x14ac:dyDescent="0.3">
      <c r="A46" s="22" t="s">
        <v>706</v>
      </c>
      <c r="B46" s="23" t="s">
        <v>707</v>
      </c>
      <c r="C46" s="24">
        <v>0</v>
      </c>
      <c r="D46" s="24">
        <v>0.5</v>
      </c>
      <c r="E46" s="24">
        <v>0.5</v>
      </c>
      <c r="F46" s="113">
        <f>E46*3600</f>
        <v>1800</v>
      </c>
      <c r="G46" s="114" t="s">
        <v>32</v>
      </c>
      <c r="H46" s="27" t="s">
        <v>708</v>
      </c>
      <c r="I46" s="27">
        <v>0.15</v>
      </c>
      <c r="J46" s="27" t="s">
        <v>709</v>
      </c>
      <c r="K46" s="27">
        <v>18.05</v>
      </c>
      <c r="L46" s="27">
        <v>126</v>
      </c>
      <c r="M46" s="27"/>
      <c r="N46" s="27"/>
      <c r="O46" s="27" t="s">
        <v>710</v>
      </c>
      <c r="P46" s="27"/>
      <c r="Q46" s="27"/>
      <c r="R46" s="111">
        <v>70270110036</v>
      </c>
      <c r="S46" s="27"/>
      <c r="T46" s="3" t="s">
        <v>31</v>
      </c>
      <c r="U46" s="5" t="s">
        <v>67</v>
      </c>
    </row>
    <row r="47" spans="1:21" ht="48.6" thickBot="1" x14ac:dyDescent="0.3">
      <c r="A47" s="22" t="s">
        <v>711</v>
      </c>
      <c r="B47" s="23" t="s">
        <v>712</v>
      </c>
      <c r="C47" s="24">
        <v>0</v>
      </c>
      <c r="D47" s="24">
        <v>6.46</v>
      </c>
      <c r="E47" s="24">
        <v>6.46</v>
      </c>
      <c r="F47" s="27">
        <f>E47*4200</f>
        <v>27132</v>
      </c>
      <c r="G47" s="27" t="s">
        <v>32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111" t="s">
        <v>713</v>
      </c>
      <c r="S47" s="27"/>
      <c r="T47" s="3" t="s">
        <v>31</v>
      </c>
      <c r="U47" s="5"/>
    </row>
    <row r="48" spans="1:21" ht="48.6" thickBot="1" x14ac:dyDescent="0.3">
      <c r="A48" s="22" t="s">
        <v>714</v>
      </c>
      <c r="B48" s="23" t="s">
        <v>715</v>
      </c>
      <c r="C48" s="24">
        <v>0</v>
      </c>
      <c r="D48" s="24">
        <v>4.78</v>
      </c>
      <c r="E48" s="24">
        <v>4.78</v>
      </c>
      <c r="F48" s="113">
        <f>E48*4000</f>
        <v>19120</v>
      </c>
      <c r="G48" s="114" t="s">
        <v>32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111" t="s">
        <v>716</v>
      </c>
      <c r="S48" s="27"/>
      <c r="T48" s="3" t="s">
        <v>31</v>
      </c>
      <c r="U48" s="110"/>
    </row>
    <row r="49" spans="1:21" ht="48.6" thickBot="1" x14ac:dyDescent="0.3">
      <c r="A49" s="22" t="s">
        <v>717</v>
      </c>
      <c r="B49" s="23" t="s">
        <v>718</v>
      </c>
      <c r="C49" s="24">
        <v>0</v>
      </c>
      <c r="D49" s="24">
        <v>2.79</v>
      </c>
      <c r="E49" s="24">
        <v>2.79</v>
      </c>
      <c r="F49" s="27">
        <f>E49*4800</f>
        <v>13392</v>
      </c>
      <c r="G49" s="27" t="s">
        <v>32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111" t="s">
        <v>719</v>
      </c>
      <c r="S49" s="27"/>
      <c r="T49" s="3" t="s">
        <v>31</v>
      </c>
      <c r="U49" s="110"/>
    </row>
    <row r="50" spans="1:21" s="304" customFormat="1" ht="48.6" thickBot="1" x14ac:dyDescent="0.35">
      <c r="A50" s="22" t="s">
        <v>720</v>
      </c>
      <c r="B50" s="23" t="s">
        <v>721</v>
      </c>
      <c r="C50" s="24">
        <v>0</v>
      </c>
      <c r="D50" s="24">
        <v>2.84</v>
      </c>
      <c r="E50" s="24">
        <v>2.84</v>
      </c>
      <c r="F50" s="27">
        <f>E50*4000</f>
        <v>11360</v>
      </c>
      <c r="G50" s="27" t="s">
        <v>32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3">
        <v>70270060199</v>
      </c>
      <c r="S50" s="27"/>
      <c r="T50" s="3" t="s">
        <v>31</v>
      </c>
      <c r="U50" s="110"/>
    </row>
    <row r="51" spans="1:21" ht="48.6" thickBot="1" x14ac:dyDescent="0.3">
      <c r="A51" s="22" t="s">
        <v>722</v>
      </c>
      <c r="B51" s="23" t="s">
        <v>723</v>
      </c>
      <c r="C51" s="24">
        <v>0</v>
      </c>
      <c r="D51" s="24">
        <v>3.86</v>
      </c>
      <c r="E51" s="24">
        <v>3.86</v>
      </c>
      <c r="F51" s="27">
        <f>E51*2800</f>
        <v>10808</v>
      </c>
      <c r="G51" s="27" t="s">
        <v>32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111" t="s">
        <v>724</v>
      </c>
      <c r="S51" s="27"/>
      <c r="T51" s="3" t="s">
        <v>31</v>
      </c>
      <c r="U51" s="5"/>
    </row>
    <row r="52" spans="1:21" ht="48.6" thickBot="1" x14ac:dyDescent="0.3">
      <c r="A52" s="22" t="s">
        <v>725</v>
      </c>
      <c r="B52" s="23" t="s">
        <v>726</v>
      </c>
      <c r="C52" s="24">
        <v>0</v>
      </c>
      <c r="D52" s="24">
        <v>2.08</v>
      </c>
      <c r="E52" s="41">
        <v>2.08</v>
      </c>
      <c r="F52" s="25">
        <f>E52*4300</f>
        <v>8944</v>
      </c>
      <c r="G52" s="27" t="s">
        <v>32</v>
      </c>
      <c r="H52" s="27" t="s">
        <v>708</v>
      </c>
      <c r="I52" s="27">
        <v>0.5</v>
      </c>
      <c r="J52" s="3" t="s">
        <v>727</v>
      </c>
      <c r="K52" s="27">
        <v>18</v>
      </c>
      <c r="L52" s="27">
        <v>126</v>
      </c>
      <c r="M52" s="27"/>
      <c r="N52" s="27"/>
      <c r="O52" s="3" t="s">
        <v>710</v>
      </c>
      <c r="P52" s="27"/>
      <c r="Q52" s="27"/>
      <c r="R52" s="111" t="s">
        <v>728</v>
      </c>
      <c r="S52" s="27"/>
      <c r="T52" s="3" t="s">
        <v>31</v>
      </c>
      <c r="U52" s="5"/>
    </row>
    <row r="53" spans="1:21" ht="48.6" thickBot="1" x14ac:dyDescent="0.3">
      <c r="A53" s="22" t="s">
        <v>729</v>
      </c>
      <c r="B53" s="23" t="s">
        <v>730</v>
      </c>
      <c r="C53" s="24">
        <v>0</v>
      </c>
      <c r="D53" s="24">
        <v>2.73</v>
      </c>
      <c r="E53" s="24">
        <v>2.73</v>
      </c>
      <c r="F53" s="27">
        <f>E53*4500</f>
        <v>12285</v>
      </c>
      <c r="G53" s="27" t="s">
        <v>32</v>
      </c>
      <c r="H53" s="27" t="s">
        <v>708</v>
      </c>
      <c r="I53" s="27">
        <v>0.8</v>
      </c>
      <c r="J53" s="3" t="s">
        <v>731</v>
      </c>
      <c r="K53" s="27">
        <v>18</v>
      </c>
      <c r="L53" s="27">
        <v>126</v>
      </c>
      <c r="M53" s="27"/>
      <c r="N53" s="27"/>
      <c r="O53" s="3" t="s">
        <v>710</v>
      </c>
      <c r="P53" s="27"/>
      <c r="Q53" s="27"/>
      <c r="R53" s="111" t="s">
        <v>732</v>
      </c>
      <c r="S53" s="27"/>
      <c r="T53" s="3" t="s">
        <v>31</v>
      </c>
      <c r="U53" s="110"/>
    </row>
    <row r="54" spans="1:21" ht="48.6" thickBot="1" x14ac:dyDescent="0.3">
      <c r="A54" s="22" t="s">
        <v>733</v>
      </c>
      <c r="B54" s="23" t="s">
        <v>734</v>
      </c>
      <c r="C54" s="24">
        <v>0</v>
      </c>
      <c r="D54" s="24">
        <v>1.86</v>
      </c>
      <c r="E54" s="24">
        <v>1.86</v>
      </c>
      <c r="F54" s="27">
        <f>E54*5000</f>
        <v>9300</v>
      </c>
      <c r="G54" s="27" t="s">
        <v>32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111" t="s">
        <v>735</v>
      </c>
      <c r="S54" s="27"/>
      <c r="T54" s="3" t="s">
        <v>31</v>
      </c>
      <c r="U54" s="5" t="s">
        <v>67</v>
      </c>
    </row>
    <row r="55" spans="1:21" ht="48.6" thickBot="1" x14ac:dyDescent="0.3">
      <c r="A55" s="22" t="s">
        <v>736</v>
      </c>
      <c r="B55" s="23" t="s">
        <v>737</v>
      </c>
      <c r="C55" s="24">
        <v>0</v>
      </c>
      <c r="D55" s="24">
        <v>0.32</v>
      </c>
      <c r="E55" s="24">
        <v>0.32</v>
      </c>
      <c r="F55" s="27">
        <f>E55*5000</f>
        <v>1600</v>
      </c>
      <c r="G55" s="114" t="s">
        <v>32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116" t="s">
        <v>738</v>
      </c>
      <c r="S55" s="3"/>
      <c r="T55" s="3" t="s">
        <v>31</v>
      </c>
      <c r="U55" s="5"/>
    </row>
    <row r="56" spans="1:21" s="304" customFormat="1" ht="48.6" thickBot="1" x14ac:dyDescent="0.35">
      <c r="A56" s="22" t="s">
        <v>739</v>
      </c>
      <c r="B56" s="23" t="s">
        <v>740</v>
      </c>
      <c r="C56" s="24">
        <v>0</v>
      </c>
      <c r="D56" s="24">
        <v>1.31</v>
      </c>
      <c r="E56" s="24">
        <v>1.31</v>
      </c>
      <c r="F56" s="27">
        <f>E56*4500</f>
        <v>5895</v>
      </c>
      <c r="G56" s="27" t="s">
        <v>32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111" t="s">
        <v>741</v>
      </c>
      <c r="S56" s="27"/>
      <c r="T56" s="3" t="s">
        <v>31</v>
      </c>
      <c r="U56" s="5" t="s">
        <v>67</v>
      </c>
    </row>
    <row r="57" spans="1:21" ht="48" x14ac:dyDescent="0.25">
      <c r="A57" s="604" t="s">
        <v>742</v>
      </c>
      <c r="B57" s="607" t="s">
        <v>743</v>
      </c>
      <c r="C57" s="30">
        <v>0</v>
      </c>
      <c r="D57" s="30">
        <v>1</v>
      </c>
      <c r="E57" s="645">
        <v>3.65</v>
      </c>
      <c r="F57" s="640">
        <f>E57*3700</f>
        <v>13505</v>
      </c>
      <c r="G57" s="33" t="s">
        <v>744</v>
      </c>
      <c r="H57" s="34" t="s">
        <v>708</v>
      </c>
      <c r="I57" s="117">
        <v>2</v>
      </c>
      <c r="J57" s="33" t="s">
        <v>745</v>
      </c>
      <c r="K57" s="34">
        <v>18</v>
      </c>
      <c r="L57" s="34">
        <v>126</v>
      </c>
      <c r="M57" s="34"/>
      <c r="N57" s="34"/>
      <c r="O57" s="34" t="s">
        <v>710</v>
      </c>
      <c r="P57" s="34"/>
      <c r="Q57" s="34"/>
      <c r="R57" s="746">
        <v>70270150080</v>
      </c>
      <c r="S57" s="640"/>
      <c r="T57" s="33" t="s">
        <v>31</v>
      </c>
      <c r="U57" s="642"/>
    </row>
    <row r="58" spans="1:21" ht="48.6" thickBot="1" x14ac:dyDescent="0.3">
      <c r="A58" s="606"/>
      <c r="B58" s="609"/>
      <c r="C58" s="16">
        <v>1</v>
      </c>
      <c r="D58" s="16">
        <v>3.65</v>
      </c>
      <c r="E58" s="646"/>
      <c r="F58" s="631"/>
      <c r="G58" s="20" t="s">
        <v>32</v>
      </c>
      <c r="H58" s="19" t="s">
        <v>708</v>
      </c>
      <c r="I58" s="19">
        <v>2.5</v>
      </c>
      <c r="J58" s="20" t="s">
        <v>746</v>
      </c>
      <c r="K58" s="20">
        <v>30</v>
      </c>
      <c r="L58" s="20">
        <v>210</v>
      </c>
      <c r="M58" s="19"/>
      <c r="N58" s="19"/>
      <c r="O58" s="19" t="s">
        <v>710</v>
      </c>
      <c r="P58" s="19"/>
      <c r="Q58" s="19"/>
      <c r="R58" s="747"/>
      <c r="S58" s="631"/>
      <c r="T58" s="20" t="s">
        <v>31</v>
      </c>
      <c r="U58" s="637"/>
    </row>
    <row r="59" spans="1:21" ht="48.6" thickBot="1" x14ac:dyDescent="0.3">
      <c r="A59" s="22" t="s">
        <v>747</v>
      </c>
      <c r="B59" s="23" t="s">
        <v>748</v>
      </c>
      <c r="C59" s="24">
        <v>0</v>
      </c>
      <c r="D59" s="24">
        <v>1.06</v>
      </c>
      <c r="E59" s="24">
        <v>1.06</v>
      </c>
      <c r="F59" s="27">
        <f>E59*6000</f>
        <v>6360</v>
      </c>
      <c r="G59" s="27" t="s">
        <v>29</v>
      </c>
      <c r="H59" s="27"/>
      <c r="I59" s="119"/>
      <c r="J59" s="3"/>
      <c r="K59" s="27"/>
      <c r="L59" s="27"/>
      <c r="M59" s="27"/>
      <c r="N59" s="27"/>
      <c r="O59" s="3"/>
      <c r="P59" s="27"/>
      <c r="Q59" s="27"/>
      <c r="R59" s="111" t="s">
        <v>749</v>
      </c>
      <c r="S59" s="27"/>
      <c r="T59" s="3" t="s">
        <v>31</v>
      </c>
      <c r="U59" s="5"/>
    </row>
    <row r="60" spans="1:21" ht="48.6" thickBot="1" x14ac:dyDescent="0.3">
      <c r="A60" s="22" t="s">
        <v>750</v>
      </c>
      <c r="B60" s="23" t="s">
        <v>751</v>
      </c>
      <c r="C60" s="24">
        <v>0</v>
      </c>
      <c r="D60" s="24">
        <v>4.0999999999999996</v>
      </c>
      <c r="E60" s="24">
        <v>4.0999999999999996</v>
      </c>
      <c r="F60" s="27">
        <f>E60*5000</f>
        <v>20500</v>
      </c>
      <c r="G60" s="27" t="s">
        <v>32</v>
      </c>
      <c r="H60" s="27" t="s">
        <v>708</v>
      </c>
      <c r="I60" s="24">
        <v>3.5</v>
      </c>
      <c r="J60" s="3" t="s">
        <v>752</v>
      </c>
      <c r="K60" s="27">
        <v>24</v>
      </c>
      <c r="L60" s="27">
        <v>168</v>
      </c>
      <c r="M60" s="27"/>
      <c r="N60" s="27"/>
      <c r="O60" s="3" t="s">
        <v>753</v>
      </c>
      <c r="P60" s="27"/>
      <c r="Q60" s="27"/>
      <c r="R60" s="111" t="s">
        <v>754</v>
      </c>
      <c r="S60" s="27"/>
      <c r="T60" s="3" t="s">
        <v>31</v>
      </c>
      <c r="U60" s="110"/>
    </row>
    <row r="61" spans="1:21" s="304" customFormat="1" ht="72.599999999999994" thickBot="1" x14ac:dyDescent="0.35">
      <c r="A61" s="22" t="s">
        <v>755</v>
      </c>
      <c r="B61" s="23" t="s">
        <v>756</v>
      </c>
      <c r="C61" s="24">
        <v>0</v>
      </c>
      <c r="D61" s="24">
        <v>1.83</v>
      </c>
      <c r="E61" s="24">
        <v>1.83</v>
      </c>
      <c r="F61" s="27">
        <f>E61*4200</f>
        <v>7686</v>
      </c>
      <c r="G61" s="27" t="s">
        <v>32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111" t="s">
        <v>757</v>
      </c>
      <c r="S61" s="27"/>
      <c r="T61" s="3" t="s">
        <v>31</v>
      </c>
      <c r="U61" s="5"/>
    </row>
    <row r="62" spans="1:21" ht="48.6" thickBot="1" x14ac:dyDescent="0.3">
      <c r="A62" s="22" t="s">
        <v>758</v>
      </c>
      <c r="B62" s="23" t="s">
        <v>759</v>
      </c>
      <c r="C62" s="24">
        <v>0</v>
      </c>
      <c r="D62" s="24">
        <v>1.55</v>
      </c>
      <c r="E62" s="24">
        <v>1.55</v>
      </c>
      <c r="F62" s="27">
        <f>E62*4560</f>
        <v>7068</v>
      </c>
      <c r="G62" s="27" t="s">
        <v>32</v>
      </c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111">
        <v>70270090125</v>
      </c>
      <c r="S62" s="27"/>
      <c r="T62" s="3" t="s">
        <v>31</v>
      </c>
      <c r="U62" s="5"/>
    </row>
    <row r="63" spans="1:21" ht="48.6" thickBot="1" x14ac:dyDescent="0.3">
      <c r="A63" s="22" t="s">
        <v>760</v>
      </c>
      <c r="B63" s="23" t="s">
        <v>761</v>
      </c>
      <c r="C63" s="24">
        <v>0</v>
      </c>
      <c r="D63" s="24">
        <v>3.6</v>
      </c>
      <c r="E63" s="24">
        <v>3.6</v>
      </c>
      <c r="F63" s="27">
        <f>E63*3920</f>
        <v>14112</v>
      </c>
      <c r="G63" s="27" t="s">
        <v>32</v>
      </c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111" t="s">
        <v>762</v>
      </c>
      <c r="S63" s="27"/>
      <c r="T63" s="3" t="s">
        <v>31</v>
      </c>
      <c r="U63" s="5"/>
    </row>
    <row r="64" spans="1:21" ht="48.6" thickBot="1" x14ac:dyDescent="0.3">
      <c r="A64" s="22" t="s">
        <v>763</v>
      </c>
      <c r="B64" s="23" t="s">
        <v>764</v>
      </c>
      <c r="C64" s="24">
        <v>0</v>
      </c>
      <c r="D64" s="24">
        <v>0.53</v>
      </c>
      <c r="E64" s="24">
        <v>0.53</v>
      </c>
      <c r="F64" s="25">
        <f>E64*3920</f>
        <v>2077.6</v>
      </c>
      <c r="G64" s="27" t="s">
        <v>32</v>
      </c>
      <c r="H64" s="27" t="s">
        <v>708</v>
      </c>
      <c r="I64" s="24">
        <v>0.75</v>
      </c>
      <c r="J64" s="3" t="s">
        <v>765</v>
      </c>
      <c r="K64" s="27">
        <v>7.7</v>
      </c>
      <c r="L64" s="27">
        <v>36.96</v>
      </c>
      <c r="M64" s="27"/>
      <c r="N64" s="27"/>
      <c r="O64" s="27" t="s">
        <v>766</v>
      </c>
      <c r="P64" s="27"/>
      <c r="Q64" s="27"/>
      <c r="R64" s="111">
        <v>70270110038</v>
      </c>
      <c r="S64" s="27"/>
      <c r="T64" s="3" t="s">
        <v>31</v>
      </c>
      <c r="U64" s="5"/>
    </row>
    <row r="65" spans="1:21" s="304" customFormat="1" ht="48.6" thickBot="1" x14ac:dyDescent="0.35">
      <c r="A65" s="22" t="s">
        <v>767</v>
      </c>
      <c r="B65" s="23" t="s">
        <v>768</v>
      </c>
      <c r="C65" s="24">
        <v>0</v>
      </c>
      <c r="D65" s="24">
        <v>0.02</v>
      </c>
      <c r="E65" s="24">
        <v>0.02</v>
      </c>
      <c r="F65" s="27">
        <f>E65*2800</f>
        <v>56</v>
      </c>
      <c r="G65" s="27" t="s">
        <v>32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111" t="s">
        <v>769</v>
      </c>
      <c r="S65" s="27"/>
      <c r="T65" s="3" t="s">
        <v>31</v>
      </c>
      <c r="U65" s="110"/>
    </row>
    <row r="66" spans="1:21" ht="60.6" thickBot="1" x14ac:dyDescent="0.3">
      <c r="A66" s="120" t="s">
        <v>770</v>
      </c>
      <c r="B66" s="23" t="s">
        <v>771</v>
      </c>
      <c r="C66" s="24">
        <v>0</v>
      </c>
      <c r="D66" s="24">
        <v>1.56</v>
      </c>
      <c r="E66" s="41">
        <v>1.56</v>
      </c>
      <c r="F66" s="113">
        <f>E66*3000</f>
        <v>4680</v>
      </c>
      <c r="G66" s="114" t="s">
        <v>32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111" t="s">
        <v>772</v>
      </c>
      <c r="S66" s="27"/>
      <c r="T66" s="3" t="s">
        <v>31</v>
      </c>
      <c r="U66" s="5"/>
    </row>
    <row r="67" spans="1:21" ht="48.6" thickBot="1" x14ac:dyDescent="0.3">
      <c r="A67" s="120" t="s">
        <v>773</v>
      </c>
      <c r="B67" s="23" t="s">
        <v>774</v>
      </c>
      <c r="C67" s="24">
        <v>0</v>
      </c>
      <c r="D67" s="24">
        <v>1.47</v>
      </c>
      <c r="E67" s="24">
        <v>1.47</v>
      </c>
      <c r="F67" s="25">
        <f>E67*2650</f>
        <v>3895.5</v>
      </c>
      <c r="G67" s="27" t="s">
        <v>32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111" t="s">
        <v>775</v>
      </c>
      <c r="S67" s="27"/>
      <c r="T67" s="3" t="s">
        <v>31</v>
      </c>
      <c r="U67" s="110"/>
    </row>
    <row r="68" spans="1:21" ht="96.6" thickBot="1" x14ac:dyDescent="0.3">
      <c r="A68" s="120" t="s">
        <v>776</v>
      </c>
      <c r="B68" s="23" t="s">
        <v>777</v>
      </c>
      <c r="C68" s="24">
        <v>0</v>
      </c>
      <c r="D68" s="24">
        <v>4.26</v>
      </c>
      <c r="E68" s="24">
        <v>4.26</v>
      </c>
      <c r="F68" s="27">
        <f>4.26*4500</f>
        <v>19170</v>
      </c>
      <c r="G68" s="27" t="s">
        <v>32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111" t="s">
        <v>778</v>
      </c>
      <c r="S68" s="27"/>
      <c r="T68" s="3" t="s">
        <v>31</v>
      </c>
      <c r="U68" s="5" t="s">
        <v>67</v>
      </c>
    </row>
    <row r="69" spans="1:21" s="304" customFormat="1" ht="48.6" thickBot="1" x14ac:dyDescent="0.35">
      <c r="A69" s="22" t="s">
        <v>779</v>
      </c>
      <c r="B69" s="23" t="s">
        <v>780</v>
      </c>
      <c r="C69" s="24">
        <v>0</v>
      </c>
      <c r="D69" s="24">
        <v>0.33</v>
      </c>
      <c r="E69" s="24">
        <v>0.33</v>
      </c>
      <c r="F69" s="27">
        <f>E69*3000</f>
        <v>990</v>
      </c>
      <c r="G69" s="27" t="s">
        <v>32</v>
      </c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3" t="s">
        <v>781</v>
      </c>
      <c r="S69" s="27"/>
      <c r="T69" s="3" t="s">
        <v>31</v>
      </c>
      <c r="U69" s="110"/>
    </row>
    <row r="70" spans="1:21" ht="48.6" thickBot="1" x14ac:dyDescent="0.3">
      <c r="A70" s="121" t="s">
        <v>782</v>
      </c>
      <c r="B70" s="42" t="s">
        <v>783</v>
      </c>
      <c r="C70" s="52">
        <v>0</v>
      </c>
      <c r="D70" s="52">
        <v>0.28999999999999998</v>
      </c>
      <c r="E70" s="52">
        <v>0.28999999999999998</v>
      </c>
      <c r="F70" s="89">
        <f>E70*3900</f>
        <v>1131</v>
      </c>
      <c r="G70" s="89" t="s">
        <v>32</v>
      </c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122" t="s">
        <v>784</v>
      </c>
      <c r="S70" s="89"/>
      <c r="T70" s="53" t="s">
        <v>31</v>
      </c>
      <c r="U70" s="123"/>
    </row>
    <row r="71" spans="1:21" ht="48" customHeight="1" x14ac:dyDescent="0.25">
      <c r="A71" s="604" t="s">
        <v>785</v>
      </c>
      <c r="B71" s="607" t="s">
        <v>786</v>
      </c>
      <c r="C71" s="30">
        <v>0</v>
      </c>
      <c r="D71" s="30">
        <v>0.44</v>
      </c>
      <c r="E71" s="610">
        <v>0.52</v>
      </c>
      <c r="F71" s="613">
        <f>E71*3500</f>
        <v>1820</v>
      </c>
      <c r="G71" s="33" t="s">
        <v>32</v>
      </c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662" t="s">
        <v>787</v>
      </c>
      <c r="S71" s="33"/>
      <c r="T71" s="662" t="s">
        <v>31</v>
      </c>
      <c r="U71" s="664" t="s">
        <v>67</v>
      </c>
    </row>
    <row r="72" spans="1:21" ht="14.4" thickBot="1" x14ac:dyDescent="0.3">
      <c r="A72" s="606"/>
      <c r="B72" s="609"/>
      <c r="C72" s="16">
        <v>0.44</v>
      </c>
      <c r="D72" s="16">
        <v>0.52</v>
      </c>
      <c r="E72" s="612"/>
      <c r="F72" s="638"/>
      <c r="G72" s="20" t="s">
        <v>788</v>
      </c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663"/>
      <c r="S72" s="20"/>
      <c r="T72" s="663"/>
      <c r="U72" s="665"/>
    </row>
    <row r="73" spans="1:21" ht="48.6" thickBot="1" x14ac:dyDescent="0.3">
      <c r="A73" s="124" t="s">
        <v>789</v>
      </c>
      <c r="B73" s="45" t="s">
        <v>790</v>
      </c>
      <c r="C73" s="56">
        <v>0</v>
      </c>
      <c r="D73" s="56">
        <v>0.92</v>
      </c>
      <c r="E73" s="56">
        <v>0.92</v>
      </c>
      <c r="F73" s="94">
        <f>E73*4600</f>
        <v>4232</v>
      </c>
      <c r="G73" s="57" t="s">
        <v>32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125">
        <v>70270060185</v>
      </c>
      <c r="S73" s="57"/>
      <c r="T73" s="57" t="s">
        <v>31</v>
      </c>
      <c r="U73" s="58" t="s">
        <v>67</v>
      </c>
    </row>
    <row r="74" spans="1:21" ht="108.6" thickBot="1" x14ac:dyDescent="0.3">
      <c r="A74" s="120" t="s">
        <v>791</v>
      </c>
      <c r="B74" s="23" t="s">
        <v>792</v>
      </c>
      <c r="C74" s="24">
        <v>0</v>
      </c>
      <c r="D74" s="24">
        <v>5.01</v>
      </c>
      <c r="E74" s="24">
        <v>5.01</v>
      </c>
      <c r="F74" s="27">
        <f>E74*3500</f>
        <v>17535</v>
      </c>
      <c r="G74" s="27" t="s">
        <v>32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111" t="s">
        <v>793</v>
      </c>
      <c r="S74" s="27"/>
      <c r="T74" s="3" t="s">
        <v>31</v>
      </c>
      <c r="U74" s="5"/>
    </row>
    <row r="75" spans="1:21" ht="48.6" thickBot="1" x14ac:dyDescent="0.3">
      <c r="A75" s="120" t="s">
        <v>794</v>
      </c>
      <c r="B75" s="23" t="s">
        <v>795</v>
      </c>
      <c r="C75" s="24">
        <v>0</v>
      </c>
      <c r="D75" s="24">
        <v>2.85</v>
      </c>
      <c r="E75" s="24">
        <v>2.85</v>
      </c>
      <c r="F75" s="113">
        <f>E75*4000</f>
        <v>11400</v>
      </c>
      <c r="G75" s="114" t="s">
        <v>32</v>
      </c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111" t="s">
        <v>796</v>
      </c>
      <c r="S75" s="27"/>
      <c r="T75" s="3" t="s">
        <v>31</v>
      </c>
      <c r="U75" s="110"/>
    </row>
    <row r="76" spans="1:21" ht="48.6" thickBot="1" x14ac:dyDescent="0.3">
      <c r="A76" s="120" t="s">
        <v>797</v>
      </c>
      <c r="B76" s="23" t="s">
        <v>798</v>
      </c>
      <c r="C76" s="126">
        <v>0</v>
      </c>
      <c r="D76" s="24">
        <v>2.69</v>
      </c>
      <c r="E76" s="127">
        <v>2.69</v>
      </c>
      <c r="F76" s="113">
        <f>E76*3000</f>
        <v>8070</v>
      </c>
      <c r="G76" s="114" t="s">
        <v>32</v>
      </c>
      <c r="H76" s="128" t="s">
        <v>708</v>
      </c>
      <c r="I76" s="24">
        <v>1.5</v>
      </c>
      <c r="J76" s="3" t="s">
        <v>799</v>
      </c>
      <c r="K76" s="27">
        <v>18</v>
      </c>
      <c r="L76" s="27">
        <v>126</v>
      </c>
      <c r="M76" s="27"/>
      <c r="N76" s="27"/>
      <c r="O76" s="27" t="s">
        <v>753</v>
      </c>
      <c r="P76" s="27"/>
      <c r="Q76" s="27"/>
      <c r="R76" s="111" t="s">
        <v>800</v>
      </c>
      <c r="S76" s="27"/>
      <c r="T76" s="3" t="s">
        <v>31</v>
      </c>
      <c r="U76" s="110"/>
    </row>
    <row r="77" spans="1:21" ht="48" x14ac:dyDescent="0.25">
      <c r="A77" s="666" t="s">
        <v>801</v>
      </c>
      <c r="B77" s="651" t="s">
        <v>802</v>
      </c>
      <c r="C77" s="52">
        <v>0</v>
      </c>
      <c r="D77" s="52">
        <v>0.83</v>
      </c>
      <c r="E77" s="668">
        <v>1.38</v>
      </c>
      <c r="F77" s="727">
        <f t="shared" ref="F77" si="0">E77*3000</f>
        <v>4140</v>
      </c>
      <c r="G77" s="727" t="s">
        <v>32</v>
      </c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118" t="s">
        <v>803</v>
      </c>
      <c r="S77" s="34"/>
      <c r="T77" s="33" t="s">
        <v>31</v>
      </c>
      <c r="U77" s="744"/>
    </row>
    <row r="78" spans="1:21" ht="48.6" thickBot="1" x14ac:dyDescent="0.3">
      <c r="A78" s="667"/>
      <c r="B78" s="652"/>
      <c r="C78" s="19">
        <v>0.83</v>
      </c>
      <c r="D78" s="16">
        <v>1.38</v>
      </c>
      <c r="E78" s="669"/>
      <c r="F78" s="729"/>
      <c r="G78" s="72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98">
        <v>70270140081</v>
      </c>
      <c r="S78" s="19"/>
      <c r="T78" s="20" t="s">
        <v>31</v>
      </c>
      <c r="U78" s="745"/>
    </row>
    <row r="79" spans="1:21" s="521" customFormat="1" ht="48.6" thickBot="1" x14ac:dyDescent="0.35">
      <c r="A79" s="22" t="s">
        <v>804</v>
      </c>
      <c r="B79" s="23" t="s">
        <v>805</v>
      </c>
      <c r="C79" s="24">
        <v>0</v>
      </c>
      <c r="D79" s="24">
        <v>2.04</v>
      </c>
      <c r="E79" s="24">
        <v>2.04</v>
      </c>
      <c r="F79" s="27">
        <f>E79*3000</f>
        <v>6120</v>
      </c>
      <c r="G79" s="27" t="s">
        <v>32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3" t="s">
        <v>806</v>
      </c>
      <c r="S79" s="27"/>
      <c r="T79" s="3" t="s">
        <v>31</v>
      </c>
      <c r="U79" s="110"/>
    </row>
    <row r="80" spans="1:21" ht="48.6" thickBot="1" x14ac:dyDescent="0.3">
      <c r="A80" s="22" t="s">
        <v>807</v>
      </c>
      <c r="B80" s="23" t="s">
        <v>808</v>
      </c>
      <c r="C80" s="24">
        <v>0</v>
      </c>
      <c r="D80" s="24">
        <v>3</v>
      </c>
      <c r="E80" s="24">
        <v>3</v>
      </c>
      <c r="F80" s="27">
        <f>E80*3000</f>
        <v>9000</v>
      </c>
      <c r="G80" s="27" t="s">
        <v>32</v>
      </c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111" t="s">
        <v>809</v>
      </c>
      <c r="S80" s="27"/>
      <c r="T80" s="3" t="s">
        <v>31</v>
      </c>
      <c r="U80" s="110"/>
    </row>
    <row r="81" spans="1:21" ht="48.6" thickBot="1" x14ac:dyDescent="0.3">
      <c r="A81" s="22" t="s">
        <v>810</v>
      </c>
      <c r="B81" s="23" t="s">
        <v>811</v>
      </c>
      <c r="C81" s="24">
        <v>0</v>
      </c>
      <c r="D81" s="24">
        <v>2.77</v>
      </c>
      <c r="E81" s="24">
        <v>2.77</v>
      </c>
      <c r="F81" s="27">
        <f>E81*3000</f>
        <v>8310</v>
      </c>
      <c r="G81" s="114" t="s">
        <v>32</v>
      </c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111" t="s">
        <v>812</v>
      </c>
      <c r="S81" s="27"/>
      <c r="T81" s="3" t="s">
        <v>31</v>
      </c>
      <c r="U81" s="5" t="s">
        <v>67</v>
      </c>
    </row>
    <row r="82" spans="1:21" ht="27.6" customHeight="1" x14ac:dyDescent="0.25">
      <c r="A82" s="604" t="s">
        <v>813</v>
      </c>
      <c r="B82" s="607" t="s">
        <v>814</v>
      </c>
      <c r="C82" s="30">
        <v>0</v>
      </c>
      <c r="D82" s="30">
        <v>0.15</v>
      </c>
      <c r="E82" s="668">
        <v>4.3</v>
      </c>
      <c r="F82" s="727">
        <f>E82*3500</f>
        <v>15050</v>
      </c>
      <c r="G82" s="34" t="s">
        <v>32</v>
      </c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118" t="s">
        <v>815</v>
      </c>
      <c r="S82" s="640"/>
      <c r="T82" s="641" t="s">
        <v>31</v>
      </c>
      <c r="U82" s="744"/>
    </row>
    <row r="83" spans="1:21" ht="24.6" thickBot="1" x14ac:dyDescent="0.3">
      <c r="A83" s="606"/>
      <c r="B83" s="609"/>
      <c r="C83" s="16">
        <v>0.15</v>
      </c>
      <c r="D83" s="16">
        <v>4.3</v>
      </c>
      <c r="E83" s="669"/>
      <c r="F83" s="729"/>
      <c r="G83" s="19" t="s">
        <v>32</v>
      </c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98" t="s">
        <v>816</v>
      </c>
      <c r="S83" s="631"/>
      <c r="T83" s="634"/>
      <c r="U83" s="745"/>
    </row>
    <row r="84" spans="1:21" ht="37.950000000000003" customHeight="1" x14ac:dyDescent="0.25">
      <c r="A84" s="666" t="s">
        <v>817</v>
      </c>
      <c r="B84" s="651" t="s">
        <v>818</v>
      </c>
      <c r="C84" s="30">
        <v>0</v>
      </c>
      <c r="D84" s="52">
        <v>0.1</v>
      </c>
      <c r="E84" s="694">
        <v>1.5</v>
      </c>
      <c r="F84" s="727">
        <v>4900</v>
      </c>
      <c r="G84" s="118" t="s">
        <v>29</v>
      </c>
      <c r="H84" s="751" t="s">
        <v>708</v>
      </c>
      <c r="I84" s="668">
        <v>0.02</v>
      </c>
      <c r="J84" s="662" t="s">
        <v>819</v>
      </c>
      <c r="K84" s="727">
        <v>12.5</v>
      </c>
      <c r="L84" s="727">
        <v>87.5</v>
      </c>
      <c r="M84" s="34"/>
      <c r="N84" s="34"/>
      <c r="O84" s="34" t="s">
        <v>753</v>
      </c>
      <c r="P84" s="34"/>
      <c r="Q84" s="34"/>
      <c r="R84" s="753">
        <v>70270150081</v>
      </c>
      <c r="S84" s="34"/>
      <c r="T84" s="641" t="s">
        <v>31</v>
      </c>
      <c r="U84" s="642"/>
    </row>
    <row r="85" spans="1:21" ht="14.4" thickBot="1" x14ac:dyDescent="0.3">
      <c r="A85" s="667"/>
      <c r="B85" s="652"/>
      <c r="C85" s="56">
        <v>0.1</v>
      </c>
      <c r="D85" s="16">
        <v>1.5</v>
      </c>
      <c r="E85" s="696"/>
      <c r="F85" s="729"/>
      <c r="G85" s="125" t="s">
        <v>607</v>
      </c>
      <c r="H85" s="752"/>
      <c r="I85" s="669"/>
      <c r="J85" s="663"/>
      <c r="K85" s="729"/>
      <c r="L85" s="729"/>
      <c r="M85" s="19"/>
      <c r="N85" s="19"/>
      <c r="O85" s="19"/>
      <c r="P85" s="19"/>
      <c r="Q85" s="19"/>
      <c r="R85" s="754"/>
      <c r="S85" s="19"/>
      <c r="T85" s="634"/>
      <c r="U85" s="637"/>
    </row>
    <row r="86" spans="1:21" ht="48.6" thickBot="1" x14ac:dyDescent="0.3">
      <c r="A86" s="120" t="s">
        <v>820</v>
      </c>
      <c r="B86" s="23" t="s">
        <v>821</v>
      </c>
      <c r="C86" s="24">
        <v>0</v>
      </c>
      <c r="D86" s="24">
        <v>0.32</v>
      </c>
      <c r="E86" s="24">
        <v>0.32</v>
      </c>
      <c r="F86" s="113">
        <f>E86*3500</f>
        <v>1120</v>
      </c>
      <c r="G86" s="114" t="s">
        <v>32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111">
        <v>70270070065</v>
      </c>
      <c r="S86" s="27"/>
      <c r="T86" s="3" t="s">
        <v>31</v>
      </c>
      <c r="U86" s="110"/>
    </row>
    <row r="87" spans="1:21" ht="48.6" thickBot="1" x14ac:dyDescent="0.3">
      <c r="A87" s="22" t="s">
        <v>822</v>
      </c>
      <c r="B87" s="23" t="s">
        <v>823</v>
      </c>
      <c r="C87" s="24">
        <v>0</v>
      </c>
      <c r="D87" s="24">
        <v>1.75</v>
      </c>
      <c r="E87" s="24">
        <v>1.75</v>
      </c>
      <c r="F87" s="27">
        <f>E87*3500</f>
        <v>6125</v>
      </c>
      <c r="G87" s="27" t="s">
        <v>32</v>
      </c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111" t="s">
        <v>824</v>
      </c>
      <c r="S87" s="27"/>
      <c r="T87" s="3" t="s">
        <v>31</v>
      </c>
      <c r="U87" s="110"/>
    </row>
    <row r="88" spans="1:21" ht="40.950000000000003" customHeight="1" x14ac:dyDescent="0.25">
      <c r="A88" s="666" t="s">
        <v>825</v>
      </c>
      <c r="B88" s="651" t="s">
        <v>826</v>
      </c>
      <c r="C88" s="30">
        <v>0</v>
      </c>
      <c r="D88" s="52">
        <v>0.43</v>
      </c>
      <c r="E88" s="668">
        <v>1.3</v>
      </c>
      <c r="F88" s="727">
        <f>E88*3500</f>
        <v>4550</v>
      </c>
      <c r="G88" s="727" t="s">
        <v>32</v>
      </c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118" t="s">
        <v>827</v>
      </c>
      <c r="S88" s="34"/>
      <c r="T88" s="641" t="s">
        <v>31</v>
      </c>
      <c r="U88" s="642" t="s">
        <v>67</v>
      </c>
    </row>
    <row r="89" spans="1:21" ht="14.4" thickBot="1" x14ac:dyDescent="0.3">
      <c r="A89" s="667"/>
      <c r="B89" s="652"/>
      <c r="C89" s="56">
        <v>0.43</v>
      </c>
      <c r="D89" s="16">
        <v>1.3</v>
      </c>
      <c r="E89" s="669"/>
      <c r="F89" s="729"/>
      <c r="G89" s="72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98">
        <v>70270020112</v>
      </c>
      <c r="S89" s="19"/>
      <c r="T89" s="634"/>
      <c r="U89" s="637"/>
    </row>
    <row r="90" spans="1:21" ht="71.25" customHeight="1" thickBot="1" x14ac:dyDescent="0.3">
      <c r="A90" s="120" t="s">
        <v>828</v>
      </c>
      <c r="B90" s="23" t="s">
        <v>829</v>
      </c>
      <c r="C90" s="24">
        <v>0</v>
      </c>
      <c r="D90" s="24">
        <v>0.54</v>
      </c>
      <c r="E90" s="24">
        <v>0.54</v>
      </c>
      <c r="F90" s="113">
        <f>E90*3500</f>
        <v>1890.0000000000002</v>
      </c>
      <c r="G90" s="114" t="s">
        <v>32</v>
      </c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111">
        <v>70270060200</v>
      </c>
      <c r="S90" s="27"/>
      <c r="T90" s="3" t="s">
        <v>31</v>
      </c>
      <c r="U90" s="110"/>
    </row>
    <row r="91" spans="1:21" x14ac:dyDescent="0.25">
      <c r="A91" s="666" t="s">
        <v>830</v>
      </c>
      <c r="B91" s="651" t="s">
        <v>831</v>
      </c>
      <c r="C91" s="668">
        <v>0</v>
      </c>
      <c r="D91" s="668">
        <v>0.77</v>
      </c>
      <c r="E91" s="668">
        <v>0.77</v>
      </c>
      <c r="F91" s="727">
        <f>E91*3500</f>
        <v>2695</v>
      </c>
      <c r="G91" s="727" t="s">
        <v>32</v>
      </c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662" t="s">
        <v>832</v>
      </c>
      <c r="S91" s="34"/>
      <c r="T91" s="641" t="s">
        <v>31</v>
      </c>
      <c r="U91" s="744"/>
    </row>
    <row r="92" spans="1:21" ht="49.5" customHeight="1" thickBot="1" x14ac:dyDescent="0.3">
      <c r="A92" s="667"/>
      <c r="B92" s="652"/>
      <c r="C92" s="669"/>
      <c r="D92" s="669"/>
      <c r="E92" s="669"/>
      <c r="F92" s="729"/>
      <c r="G92" s="72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663"/>
      <c r="S92" s="19"/>
      <c r="T92" s="634"/>
      <c r="U92" s="745"/>
    </row>
    <row r="93" spans="1:21" ht="48.6" thickBot="1" x14ac:dyDescent="0.3">
      <c r="A93" s="51" t="s">
        <v>833</v>
      </c>
      <c r="B93" s="42" t="s">
        <v>834</v>
      </c>
      <c r="C93" s="30">
        <v>0</v>
      </c>
      <c r="D93" s="30">
        <v>0.67</v>
      </c>
      <c r="E93" s="52">
        <v>0.67</v>
      </c>
      <c r="F93" s="89">
        <f>E93*3500</f>
        <v>2345</v>
      </c>
      <c r="G93" s="89" t="s">
        <v>32</v>
      </c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118">
        <v>70270100077</v>
      </c>
      <c r="S93" s="34"/>
      <c r="T93" s="53" t="s">
        <v>31</v>
      </c>
      <c r="U93" s="123"/>
    </row>
    <row r="94" spans="1:21" x14ac:dyDescent="0.25">
      <c r="A94" s="666" t="s">
        <v>835</v>
      </c>
      <c r="B94" s="651" t="s">
        <v>836</v>
      </c>
      <c r="C94" s="30">
        <v>0</v>
      </c>
      <c r="D94" s="52">
        <v>0.1</v>
      </c>
      <c r="E94" s="668">
        <v>1.23</v>
      </c>
      <c r="F94" s="727">
        <f>E94*3800</f>
        <v>4674</v>
      </c>
      <c r="G94" s="727" t="s">
        <v>32</v>
      </c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118" t="s">
        <v>837</v>
      </c>
      <c r="S94" s="34"/>
      <c r="T94" s="641" t="s">
        <v>31</v>
      </c>
      <c r="U94" s="744"/>
    </row>
    <row r="95" spans="1:21" ht="58.5" customHeight="1" thickBot="1" x14ac:dyDescent="0.3">
      <c r="A95" s="667"/>
      <c r="B95" s="652"/>
      <c r="C95" s="56">
        <v>0.1</v>
      </c>
      <c r="D95" s="16">
        <v>1.23</v>
      </c>
      <c r="E95" s="669"/>
      <c r="F95" s="729"/>
      <c r="G95" s="72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98">
        <v>70270060240</v>
      </c>
      <c r="S95" s="19"/>
      <c r="T95" s="634"/>
      <c r="U95" s="745"/>
    </row>
    <row r="96" spans="1:21" ht="68.25" customHeight="1" thickBot="1" x14ac:dyDescent="0.3">
      <c r="A96" s="121" t="s">
        <v>838</v>
      </c>
      <c r="B96" s="42" t="s">
        <v>839</v>
      </c>
      <c r="C96" s="52">
        <v>0</v>
      </c>
      <c r="D96" s="52">
        <v>0.9</v>
      </c>
      <c r="E96" s="52">
        <v>0.9</v>
      </c>
      <c r="F96" s="95">
        <f>E96*4000</f>
        <v>3600</v>
      </c>
      <c r="G96" s="131" t="s">
        <v>32</v>
      </c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122">
        <v>70270060241</v>
      </c>
      <c r="S96" s="89"/>
      <c r="T96" s="53" t="s">
        <v>31</v>
      </c>
      <c r="U96" s="123"/>
    </row>
    <row r="97" spans="1:21" ht="27" customHeight="1" x14ac:dyDescent="0.25">
      <c r="A97" s="604" t="s">
        <v>840</v>
      </c>
      <c r="B97" s="607" t="s">
        <v>841</v>
      </c>
      <c r="C97" s="610">
        <v>0</v>
      </c>
      <c r="D97" s="610">
        <v>2.57</v>
      </c>
      <c r="E97" s="610">
        <v>2.57</v>
      </c>
      <c r="F97" s="613">
        <f>E97*3900</f>
        <v>10023</v>
      </c>
      <c r="G97" s="641" t="s">
        <v>607</v>
      </c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3">
        <v>70270150081</v>
      </c>
      <c r="S97" s="34"/>
      <c r="T97" s="641" t="s">
        <v>31</v>
      </c>
      <c r="U97" s="664" t="s">
        <v>67</v>
      </c>
    </row>
    <row r="98" spans="1:21" x14ac:dyDescent="0.25">
      <c r="A98" s="605"/>
      <c r="B98" s="608"/>
      <c r="C98" s="611"/>
      <c r="D98" s="611"/>
      <c r="E98" s="611"/>
      <c r="F98" s="614"/>
      <c r="G98" s="63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4" t="s">
        <v>842</v>
      </c>
      <c r="S98" s="13"/>
      <c r="T98" s="633"/>
      <c r="U98" s="724"/>
    </row>
    <row r="99" spans="1:21" ht="14.4" thickBot="1" x14ac:dyDescent="0.3">
      <c r="A99" s="763"/>
      <c r="B99" s="764"/>
      <c r="C99" s="765"/>
      <c r="D99" s="765"/>
      <c r="E99" s="765"/>
      <c r="F99" s="766"/>
      <c r="G99" s="731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3">
        <v>70270150118</v>
      </c>
      <c r="S99" s="92"/>
      <c r="T99" s="731"/>
      <c r="U99" s="724"/>
    </row>
    <row r="100" spans="1:21" ht="15" customHeight="1" x14ac:dyDescent="0.25">
      <c r="A100" s="666" t="s">
        <v>843</v>
      </c>
      <c r="B100" s="651" t="s">
        <v>844</v>
      </c>
      <c r="C100" s="727">
        <v>0</v>
      </c>
      <c r="D100" s="668">
        <v>0.91900000000000004</v>
      </c>
      <c r="E100" s="668">
        <v>0.92</v>
      </c>
      <c r="F100" s="658">
        <f>E100*3900</f>
        <v>3588</v>
      </c>
      <c r="G100" s="727" t="s">
        <v>32</v>
      </c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3">
        <v>70270140083</v>
      </c>
      <c r="S100" s="34"/>
      <c r="T100" s="662" t="s">
        <v>31</v>
      </c>
      <c r="U100" s="744"/>
    </row>
    <row r="101" spans="1:21" x14ac:dyDescent="0.25">
      <c r="A101" s="748"/>
      <c r="B101" s="711"/>
      <c r="C101" s="728"/>
      <c r="D101" s="725"/>
      <c r="E101" s="725"/>
      <c r="F101" s="726"/>
      <c r="G101" s="728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4" t="s">
        <v>845</v>
      </c>
      <c r="S101" s="13"/>
      <c r="T101" s="714"/>
      <c r="U101" s="750"/>
    </row>
    <row r="102" spans="1:21" x14ac:dyDescent="0.25">
      <c r="A102" s="748"/>
      <c r="B102" s="711"/>
      <c r="C102" s="728"/>
      <c r="D102" s="725"/>
      <c r="E102" s="725"/>
      <c r="F102" s="726"/>
      <c r="G102" s="728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4" t="s">
        <v>846</v>
      </c>
      <c r="S102" s="13"/>
      <c r="T102" s="714"/>
      <c r="U102" s="132"/>
    </row>
    <row r="103" spans="1:21" ht="14.4" thickBot="1" x14ac:dyDescent="0.3">
      <c r="A103" s="667"/>
      <c r="B103" s="652"/>
      <c r="C103" s="729"/>
      <c r="D103" s="669"/>
      <c r="E103" s="669"/>
      <c r="F103" s="659"/>
      <c r="G103" s="72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20" t="s">
        <v>847</v>
      </c>
      <c r="S103" s="19"/>
      <c r="T103" s="663"/>
      <c r="U103" s="129"/>
    </row>
    <row r="104" spans="1:21" ht="15" customHeight="1" x14ac:dyDescent="0.25">
      <c r="A104" s="748" t="s">
        <v>848</v>
      </c>
      <c r="B104" s="711" t="s">
        <v>849</v>
      </c>
      <c r="C104" s="91">
        <v>0</v>
      </c>
      <c r="D104" s="90">
        <v>0.57999999999999996</v>
      </c>
      <c r="E104" s="725">
        <v>1.55</v>
      </c>
      <c r="F104" s="728">
        <f>E104*3800</f>
        <v>5890</v>
      </c>
      <c r="G104" s="728" t="s">
        <v>32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133"/>
      <c r="S104" s="8"/>
      <c r="T104" s="632" t="s">
        <v>31</v>
      </c>
      <c r="U104" s="749"/>
    </row>
    <row r="105" spans="1:21" ht="56.25" customHeight="1" thickBot="1" x14ac:dyDescent="0.3">
      <c r="A105" s="667"/>
      <c r="B105" s="652"/>
      <c r="C105" s="19">
        <v>0.57999999999999996</v>
      </c>
      <c r="D105" s="16">
        <v>1.55</v>
      </c>
      <c r="E105" s="669"/>
      <c r="F105" s="729"/>
      <c r="G105" s="72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98" t="s">
        <v>850</v>
      </c>
      <c r="S105" s="19"/>
      <c r="T105" s="634"/>
      <c r="U105" s="745"/>
    </row>
    <row r="106" spans="1:21" ht="48.6" thickBot="1" x14ac:dyDescent="0.3">
      <c r="A106" s="120" t="s">
        <v>851</v>
      </c>
      <c r="B106" s="23" t="s">
        <v>852</v>
      </c>
      <c r="C106" s="27">
        <v>0</v>
      </c>
      <c r="D106" s="24">
        <v>1.05</v>
      </c>
      <c r="E106" s="24">
        <v>1.05</v>
      </c>
      <c r="F106" s="134">
        <f>E106*3800</f>
        <v>3990</v>
      </c>
      <c r="G106" s="114" t="s">
        <v>32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111">
        <v>70270130093</v>
      </c>
      <c r="S106" s="27"/>
      <c r="T106" s="3" t="s">
        <v>31</v>
      </c>
      <c r="U106" s="110"/>
    </row>
    <row r="107" spans="1:21" ht="48.6" thickBot="1" x14ac:dyDescent="0.3">
      <c r="A107" s="120" t="s">
        <v>853</v>
      </c>
      <c r="B107" s="23" t="s">
        <v>854</v>
      </c>
      <c r="C107" s="24">
        <v>0</v>
      </c>
      <c r="D107" s="24">
        <v>2.89</v>
      </c>
      <c r="E107" s="24">
        <v>2.89</v>
      </c>
      <c r="F107" s="113">
        <f>E107*3000</f>
        <v>8670</v>
      </c>
      <c r="G107" s="114" t="s">
        <v>32</v>
      </c>
      <c r="H107" s="128" t="s">
        <v>708</v>
      </c>
      <c r="I107" s="24">
        <v>1.2</v>
      </c>
      <c r="J107" s="3" t="s">
        <v>855</v>
      </c>
      <c r="K107" s="27">
        <v>4.5999999999999996</v>
      </c>
      <c r="L107" s="27">
        <v>21.16</v>
      </c>
      <c r="M107" s="27"/>
      <c r="N107" s="27"/>
      <c r="O107" s="27" t="s">
        <v>856</v>
      </c>
      <c r="P107" s="27"/>
      <c r="Q107" s="27"/>
      <c r="R107" s="111" t="s">
        <v>857</v>
      </c>
      <c r="S107" s="27"/>
      <c r="T107" s="3" t="s">
        <v>31</v>
      </c>
      <c r="U107" s="110"/>
    </row>
    <row r="108" spans="1:21" ht="30.6" customHeight="1" x14ac:dyDescent="0.25">
      <c r="A108" s="666" t="s">
        <v>858</v>
      </c>
      <c r="B108" s="651" t="s">
        <v>777</v>
      </c>
      <c r="C108" s="52">
        <v>0</v>
      </c>
      <c r="D108" s="30">
        <v>1.51</v>
      </c>
      <c r="E108" s="668">
        <v>2.84</v>
      </c>
      <c r="F108" s="727">
        <f>E108*3000</f>
        <v>8520</v>
      </c>
      <c r="G108" s="727" t="s">
        <v>32</v>
      </c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118" t="s">
        <v>859</v>
      </c>
      <c r="S108" s="34"/>
      <c r="T108" s="641" t="s">
        <v>31</v>
      </c>
      <c r="U108" s="744"/>
    </row>
    <row r="109" spans="1:21" ht="24.6" thickBot="1" x14ac:dyDescent="0.3">
      <c r="A109" s="667"/>
      <c r="B109" s="652"/>
      <c r="C109" s="19">
        <v>1.51</v>
      </c>
      <c r="D109" s="56">
        <v>2.84</v>
      </c>
      <c r="E109" s="669"/>
      <c r="F109" s="729"/>
      <c r="G109" s="72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98" t="s">
        <v>860</v>
      </c>
      <c r="S109" s="19"/>
      <c r="T109" s="634"/>
      <c r="U109" s="745"/>
    </row>
    <row r="110" spans="1:21" ht="48.6" thickBot="1" x14ac:dyDescent="0.3">
      <c r="A110" s="121" t="s">
        <v>861</v>
      </c>
      <c r="B110" s="42" t="s">
        <v>862</v>
      </c>
      <c r="C110" s="52">
        <v>0</v>
      </c>
      <c r="D110" s="52">
        <v>0.46</v>
      </c>
      <c r="E110" s="52">
        <v>0.46</v>
      </c>
      <c r="F110" s="523">
        <f>E110*3700</f>
        <v>1702</v>
      </c>
      <c r="G110" s="131" t="s">
        <v>32</v>
      </c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122">
        <v>70270090129</v>
      </c>
      <c r="S110" s="89"/>
      <c r="T110" s="53" t="s">
        <v>31</v>
      </c>
      <c r="U110" s="123"/>
    </row>
    <row r="111" spans="1:21" ht="34.950000000000003" customHeight="1" x14ac:dyDescent="0.25">
      <c r="A111" s="666" t="s">
        <v>863</v>
      </c>
      <c r="B111" s="651" t="s">
        <v>864</v>
      </c>
      <c r="C111" s="30">
        <v>0</v>
      </c>
      <c r="D111" s="30">
        <v>0.12</v>
      </c>
      <c r="E111" s="610">
        <v>0.37</v>
      </c>
      <c r="F111" s="613">
        <f>E111*3500</f>
        <v>1295</v>
      </c>
      <c r="G111" s="34" t="s">
        <v>32</v>
      </c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118" t="s">
        <v>865</v>
      </c>
      <c r="S111" s="34"/>
      <c r="T111" s="641" t="s">
        <v>31</v>
      </c>
      <c r="U111" s="744"/>
    </row>
    <row r="112" spans="1:21" ht="14.4" thickBot="1" x14ac:dyDescent="0.3">
      <c r="A112" s="667"/>
      <c r="B112" s="652"/>
      <c r="C112" s="16">
        <v>0.12</v>
      </c>
      <c r="D112" s="16">
        <v>0.37</v>
      </c>
      <c r="E112" s="612"/>
      <c r="F112" s="638"/>
      <c r="G112" s="19" t="s">
        <v>788</v>
      </c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98">
        <v>70270090145</v>
      </c>
      <c r="S112" s="19"/>
      <c r="T112" s="634"/>
      <c r="U112" s="745"/>
    </row>
    <row r="113" spans="1:21" ht="36" customHeight="1" x14ac:dyDescent="0.25">
      <c r="A113" s="748" t="s">
        <v>866</v>
      </c>
      <c r="B113" s="711" t="s">
        <v>867</v>
      </c>
      <c r="C113" s="668">
        <v>0</v>
      </c>
      <c r="D113" s="668">
        <v>0.78</v>
      </c>
      <c r="E113" s="725">
        <v>0.78</v>
      </c>
      <c r="F113" s="728">
        <f>E113*4000</f>
        <v>3120</v>
      </c>
      <c r="G113" s="728" t="s">
        <v>32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133" t="s">
        <v>868</v>
      </c>
      <c r="S113" s="8"/>
      <c r="T113" s="632" t="s">
        <v>31</v>
      </c>
      <c r="U113" s="749"/>
    </row>
    <row r="114" spans="1:21" ht="15" customHeight="1" thickBot="1" x14ac:dyDescent="0.3">
      <c r="A114" s="667"/>
      <c r="B114" s="652"/>
      <c r="C114" s="669"/>
      <c r="D114" s="669"/>
      <c r="E114" s="669"/>
      <c r="F114" s="729"/>
      <c r="G114" s="72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25">
        <v>70270090146</v>
      </c>
      <c r="S114" s="19"/>
      <c r="T114" s="634"/>
      <c r="U114" s="745"/>
    </row>
    <row r="115" spans="1:21" ht="34.200000000000003" customHeight="1" x14ac:dyDescent="0.25">
      <c r="A115" s="666" t="s">
        <v>869</v>
      </c>
      <c r="B115" s="651" t="s">
        <v>870</v>
      </c>
      <c r="C115" s="668">
        <v>0</v>
      </c>
      <c r="D115" s="668">
        <v>1.1200000000000001</v>
      </c>
      <c r="E115" s="668">
        <v>1.1200000000000001</v>
      </c>
      <c r="F115" s="727">
        <f>E115*4000</f>
        <v>4480</v>
      </c>
      <c r="G115" s="727" t="s">
        <v>32</v>
      </c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118" t="s">
        <v>871</v>
      </c>
      <c r="S115" s="34"/>
      <c r="T115" s="641" t="s">
        <v>31</v>
      </c>
      <c r="U115" s="744"/>
    </row>
    <row r="116" spans="1:21" ht="15" customHeight="1" thickBot="1" x14ac:dyDescent="0.3">
      <c r="A116" s="667"/>
      <c r="B116" s="652"/>
      <c r="C116" s="669"/>
      <c r="D116" s="669"/>
      <c r="E116" s="669"/>
      <c r="F116" s="729"/>
      <c r="G116" s="72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98">
        <v>70270080163</v>
      </c>
      <c r="S116" s="19"/>
      <c r="T116" s="634"/>
      <c r="U116" s="745"/>
    </row>
    <row r="117" spans="1:21" ht="34.200000000000003" customHeight="1" x14ac:dyDescent="0.25">
      <c r="A117" s="666" t="s">
        <v>872</v>
      </c>
      <c r="B117" s="651" t="s">
        <v>873</v>
      </c>
      <c r="C117" s="668">
        <v>0</v>
      </c>
      <c r="D117" s="668">
        <v>0.28000000000000003</v>
      </c>
      <c r="E117" s="668">
        <v>0.28000000000000003</v>
      </c>
      <c r="F117" s="727">
        <f>E117*3500</f>
        <v>980.00000000000011</v>
      </c>
      <c r="G117" s="727" t="s">
        <v>32</v>
      </c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118" t="s">
        <v>874</v>
      </c>
      <c r="S117" s="34"/>
      <c r="T117" s="641" t="s">
        <v>31</v>
      </c>
      <c r="U117" s="744"/>
    </row>
    <row r="118" spans="1:21" ht="14.4" thickBot="1" x14ac:dyDescent="0.3">
      <c r="A118" s="667"/>
      <c r="B118" s="652"/>
      <c r="C118" s="669"/>
      <c r="D118" s="669"/>
      <c r="E118" s="669"/>
      <c r="F118" s="729"/>
      <c r="G118" s="72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98">
        <v>70270010046</v>
      </c>
      <c r="S118" s="19"/>
      <c r="T118" s="634"/>
      <c r="U118" s="745"/>
    </row>
    <row r="119" spans="1:21" ht="48.6" thickBot="1" x14ac:dyDescent="0.3">
      <c r="A119" s="120" t="s">
        <v>875</v>
      </c>
      <c r="B119" s="23" t="s">
        <v>876</v>
      </c>
      <c r="C119" s="24">
        <v>0</v>
      </c>
      <c r="D119" s="24">
        <v>1.3</v>
      </c>
      <c r="E119" s="24">
        <v>1.3</v>
      </c>
      <c r="F119" s="113">
        <f>E119*4000</f>
        <v>5200</v>
      </c>
      <c r="G119" s="114" t="s">
        <v>32</v>
      </c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111">
        <v>70270020114</v>
      </c>
      <c r="S119" s="27"/>
      <c r="T119" s="3" t="s">
        <v>31</v>
      </c>
      <c r="U119" s="110"/>
    </row>
    <row r="120" spans="1:21" ht="37.950000000000003" customHeight="1" x14ac:dyDescent="0.25">
      <c r="A120" s="666" t="s">
        <v>877</v>
      </c>
      <c r="B120" s="651" t="s">
        <v>878</v>
      </c>
      <c r="C120" s="668">
        <v>0</v>
      </c>
      <c r="D120" s="668">
        <v>1.3</v>
      </c>
      <c r="E120" s="668">
        <v>1.3</v>
      </c>
      <c r="F120" s="727">
        <f>E120*4000</f>
        <v>5200</v>
      </c>
      <c r="G120" s="727" t="s">
        <v>32</v>
      </c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118" t="s">
        <v>879</v>
      </c>
      <c r="S120" s="34"/>
      <c r="T120" s="641" t="s">
        <v>31</v>
      </c>
      <c r="U120" s="744"/>
    </row>
    <row r="121" spans="1:21" ht="15" customHeight="1" thickBot="1" x14ac:dyDescent="0.3">
      <c r="A121" s="667"/>
      <c r="B121" s="652"/>
      <c r="C121" s="669"/>
      <c r="D121" s="669"/>
      <c r="E121" s="669"/>
      <c r="F121" s="729"/>
      <c r="G121" s="72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25">
        <v>70270060201</v>
      </c>
      <c r="S121" s="19"/>
      <c r="T121" s="634"/>
      <c r="U121" s="745"/>
    </row>
    <row r="122" spans="1:21" ht="30" customHeight="1" x14ac:dyDescent="0.25">
      <c r="A122" s="604" t="s">
        <v>880</v>
      </c>
      <c r="B122" s="607" t="s">
        <v>881</v>
      </c>
      <c r="C122" s="30">
        <v>0</v>
      </c>
      <c r="D122" s="30">
        <v>1.1499999999999999</v>
      </c>
      <c r="E122" s="668">
        <v>1.26</v>
      </c>
      <c r="F122" s="727">
        <f>E122*4000</f>
        <v>5040</v>
      </c>
      <c r="G122" s="727" t="s">
        <v>32</v>
      </c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118" t="s">
        <v>882</v>
      </c>
      <c r="S122" s="34"/>
      <c r="T122" s="641" t="s">
        <v>31</v>
      </c>
      <c r="U122" s="744"/>
    </row>
    <row r="123" spans="1:21" ht="24.6" thickBot="1" x14ac:dyDescent="0.3">
      <c r="A123" s="606"/>
      <c r="B123" s="609"/>
      <c r="C123" s="19">
        <v>1.1499999999999999</v>
      </c>
      <c r="D123" s="16">
        <v>1.26</v>
      </c>
      <c r="E123" s="669"/>
      <c r="F123" s="729"/>
      <c r="G123" s="72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98" t="s">
        <v>883</v>
      </c>
      <c r="S123" s="19"/>
      <c r="T123" s="634"/>
      <c r="U123" s="745"/>
    </row>
    <row r="124" spans="1:21" ht="37.200000000000003" customHeight="1" x14ac:dyDescent="0.25">
      <c r="A124" s="604" t="s">
        <v>884</v>
      </c>
      <c r="B124" s="607" t="s">
        <v>885</v>
      </c>
      <c r="C124" s="34">
        <v>0</v>
      </c>
      <c r="D124" s="30">
        <v>0.27</v>
      </c>
      <c r="E124" s="610">
        <v>0.56999999999999995</v>
      </c>
      <c r="F124" s="727">
        <f>E124*3600</f>
        <v>2052</v>
      </c>
      <c r="G124" s="34" t="s">
        <v>29</v>
      </c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746">
        <v>70270150102</v>
      </c>
      <c r="S124" s="34"/>
      <c r="T124" s="641" t="s">
        <v>31</v>
      </c>
      <c r="U124" s="744"/>
    </row>
    <row r="125" spans="1:21" ht="14.4" thickBot="1" x14ac:dyDescent="0.3">
      <c r="A125" s="606"/>
      <c r="B125" s="609"/>
      <c r="C125" s="19">
        <v>0.27</v>
      </c>
      <c r="D125" s="16">
        <v>0.56999999999999995</v>
      </c>
      <c r="E125" s="612"/>
      <c r="F125" s="729"/>
      <c r="G125" s="19" t="s">
        <v>32</v>
      </c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747"/>
      <c r="S125" s="19"/>
      <c r="T125" s="634"/>
      <c r="U125" s="745"/>
    </row>
    <row r="127" spans="1:21" ht="24" x14ac:dyDescent="0.25">
      <c r="A127" s="464"/>
      <c r="B127" s="61" t="s">
        <v>202</v>
      </c>
      <c r="C127" s="60"/>
      <c r="D127" s="60"/>
      <c r="E127" s="522"/>
      <c r="F127" s="312"/>
      <c r="G127" s="312"/>
    </row>
    <row r="128" spans="1:21" x14ac:dyDescent="0.25">
      <c r="B128" s="61" t="s">
        <v>203</v>
      </c>
    </row>
    <row r="129" spans="1:32" x14ac:dyDescent="0.25">
      <c r="B129" s="61" t="s">
        <v>204</v>
      </c>
    </row>
    <row r="130" spans="1:32" ht="24" x14ac:dyDescent="0.25">
      <c r="B130" s="61" t="s">
        <v>205</v>
      </c>
    </row>
    <row r="132" spans="1:32" ht="27.6" customHeight="1" x14ac:dyDescent="0.25">
      <c r="A132" s="509"/>
      <c r="B132" s="509"/>
      <c r="C132" s="512" t="s">
        <v>3985</v>
      </c>
      <c r="D132" s="543" t="s">
        <v>3986</v>
      </c>
      <c r="E132" s="543"/>
      <c r="F132" s="543"/>
      <c r="G132" s="509"/>
      <c r="H132" s="509"/>
      <c r="I132" s="509"/>
      <c r="J132" s="509"/>
      <c r="K132" s="509"/>
      <c r="L132" s="509"/>
      <c r="M132" s="509"/>
      <c r="N132" s="509"/>
      <c r="O132" s="509"/>
      <c r="P132" s="509"/>
      <c r="Q132" s="509"/>
      <c r="R132" s="509"/>
      <c r="S132" s="509"/>
      <c r="T132" s="509"/>
      <c r="U132" s="509"/>
      <c r="V132" s="509"/>
      <c r="W132" s="509"/>
      <c r="X132" s="509"/>
      <c r="Y132" s="509"/>
      <c r="Z132" s="509"/>
      <c r="AA132" s="509"/>
      <c r="AB132" s="509"/>
      <c r="AC132" s="509"/>
      <c r="AD132" s="509"/>
      <c r="AE132" s="510"/>
      <c r="AF132" s="510"/>
    </row>
    <row r="133" spans="1:32" x14ac:dyDescent="0.25">
      <c r="A133" s="509"/>
      <c r="B133" s="509"/>
      <c r="C133" s="509"/>
      <c r="D133" s="509"/>
      <c r="E133" s="509"/>
      <c r="F133" s="509"/>
      <c r="G133" s="509"/>
      <c r="H133" s="509"/>
      <c r="I133" s="509"/>
      <c r="J133" s="509"/>
      <c r="K133" s="509"/>
      <c r="L133" s="509"/>
      <c r="M133" s="509"/>
      <c r="N133" s="509"/>
      <c r="O133" s="509"/>
      <c r="P133" s="509"/>
      <c r="Q133" s="509"/>
      <c r="R133" s="509"/>
      <c r="S133" s="509"/>
      <c r="T133" s="509"/>
      <c r="U133" s="509"/>
      <c r="V133" s="509"/>
      <c r="W133" s="509"/>
      <c r="X133" s="509"/>
      <c r="Y133" s="509"/>
      <c r="Z133" s="509"/>
      <c r="AA133" s="509"/>
      <c r="AB133" s="509"/>
      <c r="AC133" s="509"/>
      <c r="AD133" s="509"/>
      <c r="AE133" s="510"/>
      <c r="AF133" s="510"/>
    </row>
    <row r="134" spans="1:32" x14ac:dyDescent="0.25">
      <c r="A134" s="509"/>
      <c r="B134" s="509"/>
      <c r="C134" s="509"/>
      <c r="D134" s="509"/>
      <c r="E134" s="509"/>
      <c r="F134" s="509"/>
      <c r="G134" s="509"/>
      <c r="H134" s="509"/>
      <c r="I134" s="509"/>
      <c r="J134" s="509"/>
      <c r="K134" s="509"/>
      <c r="L134" s="509"/>
      <c r="M134" s="509"/>
      <c r="N134" s="509"/>
      <c r="O134" s="509"/>
      <c r="P134" s="509"/>
      <c r="Q134" s="509"/>
      <c r="R134" s="509"/>
      <c r="S134" s="509"/>
      <c r="T134" s="509"/>
      <c r="U134" s="509"/>
      <c r="V134" s="509"/>
      <c r="W134" s="509"/>
      <c r="X134" s="509"/>
      <c r="Y134" s="509"/>
      <c r="Z134" s="509"/>
      <c r="AA134" s="509"/>
      <c r="AB134" s="509"/>
      <c r="AC134" s="509"/>
      <c r="AD134" s="509"/>
      <c r="AE134" s="417"/>
      <c r="AF134" s="510"/>
    </row>
    <row r="135" spans="1:32" x14ac:dyDescent="0.25">
      <c r="A135" s="59"/>
      <c r="B135" s="60"/>
      <c r="C135" s="438" t="s">
        <v>3989</v>
      </c>
      <c r="D135" s="544" t="s">
        <v>3990</v>
      </c>
      <c r="E135" s="544"/>
      <c r="F135" s="544"/>
      <c r="G135" s="544"/>
      <c r="H135" s="544"/>
      <c r="I135" s="544"/>
      <c r="T135" s="60"/>
      <c r="U135" s="60"/>
    </row>
    <row r="136" spans="1:32" ht="13.95" customHeight="1" x14ac:dyDescent="0.25">
      <c r="A136" s="59"/>
      <c r="B136" s="60"/>
      <c r="C136" s="438" t="s">
        <v>3987</v>
      </c>
      <c r="D136" s="553" t="s">
        <v>3988</v>
      </c>
      <c r="E136" s="553"/>
      <c r="F136" s="553"/>
      <c r="G136" s="553"/>
      <c r="H136" s="553"/>
      <c r="I136" s="553"/>
      <c r="T136" s="60"/>
      <c r="U136" s="60"/>
    </row>
    <row r="137" spans="1:32" ht="14.4" customHeight="1" x14ac:dyDescent="0.25">
      <c r="A137" s="59"/>
      <c r="B137" s="59"/>
      <c r="T137" s="60"/>
      <c r="U137" s="60"/>
    </row>
    <row r="138" spans="1:32" x14ac:dyDescent="0.25">
      <c r="B138" s="743" t="s">
        <v>3984</v>
      </c>
      <c r="C138" s="743"/>
      <c r="D138" s="743"/>
      <c r="E138" s="743"/>
      <c r="F138" s="743"/>
      <c r="G138" s="743"/>
      <c r="H138" s="743"/>
      <c r="I138" s="743"/>
    </row>
    <row r="139" spans="1:32" ht="14.25" customHeight="1" x14ac:dyDescent="0.25"/>
    <row r="141" spans="1:32" ht="13.5" customHeight="1" x14ac:dyDescent="0.25"/>
    <row r="143" spans="1:32" ht="15" customHeight="1" x14ac:dyDescent="0.25"/>
    <row r="158" ht="1.5" customHeight="1" x14ac:dyDescent="0.25"/>
  </sheetData>
  <mergeCells count="184">
    <mergeCell ref="T120:T121"/>
    <mergeCell ref="U120:U121"/>
    <mergeCell ref="A122:A123"/>
    <mergeCell ref="A94:A95"/>
    <mergeCell ref="B94:B95"/>
    <mergeCell ref="E94:E95"/>
    <mergeCell ref="F94:F95"/>
    <mergeCell ref="E97:E99"/>
    <mergeCell ref="F97:F99"/>
    <mergeCell ref="A111:A112"/>
    <mergeCell ref="B111:B112"/>
    <mergeCell ref="E111:E112"/>
    <mergeCell ref="F111:F112"/>
    <mergeCell ref="E115:E116"/>
    <mergeCell ref="F115:F116"/>
    <mergeCell ref="A120:A121"/>
    <mergeCell ref="B120:B121"/>
    <mergeCell ref="C120:C121"/>
    <mergeCell ref="D120:D121"/>
    <mergeCell ref="E120:E121"/>
    <mergeCell ref="F120:F121"/>
    <mergeCell ref="G120:G121"/>
    <mergeCell ref="A104:A105"/>
    <mergeCell ref="B104:B105"/>
    <mergeCell ref="A97:A99"/>
    <mergeCell ref="B97:B99"/>
    <mergeCell ref="C97:C99"/>
    <mergeCell ref="D97:D99"/>
    <mergeCell ref="U77:U78"/>
    <mergeCell ref="A82:A83"/>
    <mergeCell ref="B82:B83"/>
    <mergeCell ref="E82:E83"/>
    <mergeCell ref="F82:F83"/>
    <mergeCell ref="S82:S83"/>
    <mergeCell ref="T82:T83"/>
    <mergeCell ref="U82:U83"/>
    <mergeCell ref="A84:A85"/>
    <mergeCell ref="B84:B85"/>
    <mergeCell ref="U84:U85"/>
    <mergeCell ref="A77:A78"/>
    <mergeCell ref="B77:B78"/>
    <mergeCell ref="E77:E78"/>
    <mergeCell ref="F77:F78"/>
    <mergeCell ref="F88:F89"/>
    <mergeCell ref="G88:G89"/>
    <mergeCell ref="T88:T89"/>
    <mergeCell ref="U88:U89"/>
    <mergeCell ref="A2:U2"/>
    <mergeCell ref="A3:A6"/>
    <mergeCell ref="B3:B6"/>
    <mergeCell ref="C3:Q3"/>
    <mergeCell ref="S57:S58"/>
    <mergeCell ref="U57:U58"/>
    <mergeCell ref="A71:A72"/>
    <mergeCell ref="B71:B72"/>
    <mergeCell ref="E71:E72"/>
    <mergeCell ref="F71:F72"/>
    <mergeCell ref="R71:R72"/>
    <mergeCell ref="T71:T72"/>
    <mergeCell ref="U71:U72"/>
    <mergeCell ref="R3:R4"/>
    <mergeCell ref="S3:S6"/>
    <mergeCell ref="T3:T6"/>
    <mergeCell ref="U3:U6"/>
    <mergeCell ref="C4:G4"/>
    <mergeCell ref="H4:O4"/>
    <mergeCell ref="P4:Q4"/>
    <mergeCell ref="C5:D5"/>
    <mergeCell ref="E5:E6"/>
    <mergeCell ref="F5:F6"/>
    <mergeCell ref="G5:G6"/>
    <mergeCell ref="R5:R6"/>
    <mergeCell ref="A30:A31"/>
    <mergeCell ref="B30:B31"/>
    <mergeCell ref="E30:E31"/>
    <mergeCell ref="F30:F31"/>
    <mergeCell ref="A57:A58"/>
    <mergeCell ref="B57:B58"/>
    <mergeCell ref="E57:E58"/>
    <mergeCell ref="F57:F58"/>
    <mergeCell ref="R57:R58"/>
    <mergeCell ref="H5:H6"/>
    <mergeCell ref="I5:J5"/>
    <mergeCell ref="K5:K6"/>
    <mergeCell ref="L5:L6"/>
    <mergeCell ref="M5:M6"/>
    <mergeCell ref="N5:N6"/>
    <mergeCell ref="O5:O6"/>
    <mergeCell ref="P5:P6"/>
    <mergeCell ref="Q5:Q6"/>
    <mergeCell ref="E84:E85"/>
    <mergeCell ref="F84:F85"/>
    <mergeCell ref="H84:H85"/>
    <mergeCell ref="I84:I85"/>
    <mergeCell ref="J84:J85"/>
    <mergeCell ref="K84:K85"/>
    <mergeCell ref="L84:L85"/>
    <mergeCell ref="R84:R85"/>
    <mergeCell ref="T84:T85"/>
    <mergeCell ref="G77:G78"/>
    <mergeCell ref="A88:A89"/>
    <mergeCell ref="B88:B89"/>
    <mergeCell ref="E88:E89"/>
    <mergeCell ref="U91:U92"/>
    <mergeCell ref="A100:A103"/>
    <mergeCell ref="B100:B103"/>
    <mergeCell ref="C100:C103"/>
    <mergeCell ref="D100:D103"/>
    <mergeCell ref="E100:E103"/>
    <mergeCell ref="F100:F103"/>
    <mergeCell ref="G100:G103"/>
    <mergeCell ref="T100:T103"/>
    <mergeCell ref="U100:U101"/>
    <mergeCell ref="A91:A92"/>
    <mergeCell ref="B91:B92"/>
    <mergeCell ref="C91:C92"/>
    <mergeCell ref="D91:D92"/>
    <mergeCell ref="E91:E92"/>
    <mergeCell ref="F91:F92"/>
    <mergeCell ref="G91:G92"/>
    <mergeCell ref="R91:R92"/>
    <mergeCell ref="T91:T92"/>
    <mergeCell ref="G94:G95"/>
    <mergeCell ref="T94:T95"/>
    <mergeCell ref="U94:U95"/>
    <mergeCell ref="G97:G99"/>
    <mergeCell ref="T97:T99"/>
    <mergeCell ref="E104:E105"/>
    <mergeCell ref="F104:F105"/>
    <mergeCell ref="G104:G105"/>
    <mergeCell ref="T104:T105"/>
    <mergeCell ref="U104:U105"/>
    <mergeCell ref="U97:U99"/>
    <mergeCell ref="A108:A109"/>
    <mergeCell ref="B108:B109"/>
    <mergeCell ref="E108:E109"/>
    <mergeCell ref="F108:F109"/>
    <mergeCell ref="G108:G109"/>
    <mergeCell ref="T108:T109"/>
    <mergeCell ref="U108:U109"/>
    <mergeCell ref="T111:T112"/>
    <mergeCell ref="U111:U112"/>
    <mergeCell ref="A113:A114"/>
    <mergeCell ref="B113:B114"/>
    <mergeCell ref="C113:C114"/>
    <mergeCell ref="D113:D114"/>
    <mergeCell ref="E113:E114"/>
    <mergeCell ref="F113:F114"/>
    <mergeCell ref="G113:G114"/>
    <mergeCell ref="T113:T114"/>
    <mergeCell ref="U113:U114"/>
    <mergeCell ref="U122:U123"/>
    <mergeCell ref="A124:A125"/>
    <mergeCell ref="B124:B125"/>
    <mergeCell ref="E124:E125"/>
    <mergeCell ref="F124:F125"/>
    <mergeCell ref="R124:R125"/>
    <mergeCell ref="T124:T125"/>
    <mergeCell ref="U124:U125"/>
    <mergeCell ref="G115:G116"/>
    <mergeCell ref="T115:T116"/>
    <mergeCell ref="U115:U116"/>
    <mergeCell ref="A117:A118"/>
    <mergeCell ref="B117:B118"/>
    <mergeCell ref="C117:C118"/>
    <mergeCell ref="D117:D118"/>
    <mergeCell ref="E117:E118"/>
    <mergeCell ref="F117:F118"/>
    <mergeCell ref="G117:G118"/>
    <mergeCell ref="T117:T118"/>
    <mergeCell ref="U117:U118"/>
    <mergeCell ref="A115:A116"/>
    <mergeCell ref="B115:B116"/>
    <mergeCell ref="C115:C116"/>
    <mergeCell ref="D115:D116"/>
    <mergeCell ref="D132:F132"/>
    <mergeCell ref="D135:I135"/>
    <mergeCell ref="D136:I136"/>
    <mergeCell ref="B138:I138"/>
    <mergeCell ref="B122:B123"/>
    <mergeCell ref="E122:E123"/>
    <mergeCell ref="F122:F123"/>
    <mergeCell ref="G122:G123"/>
    <mergeCell ref="T122:T12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197C8-B1B5-4680-896E-C9A584774E39}">
  <dimension ref="A1:AF78"/>
  <sheetViews>
    <sheetView workbookViewId="0">
      <selection activeCell="V5" sqref="V5"/>
    </sheetView>
  </sheetViews>
  <sheetFormatPr defaultColWidth="8.88671875" defaultRowHeight="13.8" x14ac:dyDescent="0.25"/>
  <cols>
    <col min="1" max="1" width="15.88671875" style="495" customWidth="1"/>
    <col min="2" max="2" width="32.6640625" style="495" bestFit="1" customWidth="1"/>
    <col min="3" max="3" width="10.109375" style="495" customWidth="1"/>
    <col min="4" max="5" width="8.88671875" style="495"/>
    <col min="6" max="6" width="13" style="495" customWidth="1"/>
    <col min="7" max="8" width="8.88671875" style="495"/>
    <col min="9" max="9" width="18.88671875" style="495" customWidth="1"/>
    <col min="10" max="10" width="10.44140625" style="495" customWidth="1"/>
    <col min="11" max="12" width="8.88671875" style="495"/>
    <col min="13" max="13" width="11.33203125" style="495" customWidth="1"/>
    <col min="14" max="14" width="12.33203125" style="495" customWidth="1"/>
    <col min="15" max="15" width="11.33203125" style="495" customWidth="1"/>
    <col min="16" max="16" width="8.88671875" style="495"/>
    <col min="17" max="17" width="10.88671875" style="495" customWidth="1"/>
    <col min="18" max="18" width="19.109375" style="495" customWidth="1"/>
    <col min="19" max="19" width="21.6640625" style="511" customWidth="1"/>
    <col min="20" max="20" width="29.6640625" style="166" customWidth="1"/>
    <col min="21" max="21" width="19.88671875" style="135" customWidth="1"/>
    <col min="22" max="22" width="18.33203125" style="135" customWidth="1"/>
    <col min="23" max="16384" width="8.88671875" style="135"/>
  </cols>
  <sheetData>
    <row r="1" spans="1:22" ht="18" thickBot="1" x14ac:dyDescent="0.3">
      <c r="A1" s="767" t="s">
        <v>886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</row>
    <row r="2" spans="1:22" ht="14.4" thickBot="1" x14ac:dyDescent="0.3">
      <c r="A2" s="768" t="s">
        <v>1</v>
      </c>
      <c r="B2" s="768" t="s">
        <v>2</v>
      </c>
      <c r="C2" s="770" t="s">
        <v>3</v>
      </c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  <c r="O2" s="771"/>
      <c r="P2" s="771"/>
      <c r="Q2" s="772"/>
      <c r="R2" s="768" t="s">
        <v>4</v>
      </c>
      <c r="S2" s="768" t="s">
        <v>5</v>
      </c>
      <c r="T2" s="774" t="s">
        <v>207</v>
      </c>
      <c r="U2" s="776" t="s">
        <v>887</v>
      </c>
    </row>
    <row r="3" spans="1:22" ht="30" customHeight="1" thickBot="1" x14ac:dyDescent="0.3">
      <c r="A3" s="769"/>
      <c r="B3" s="769"/>
      <c r="C3" s="770" t="s">
        <v>8</v>
      </c>
      <c r="D3" s="771"/>
      <c r="E3" s="771"/>
      <c r="F3" s="771"/>
      <c r="G3" s="772"/>
      <c r="H3" s="770" t="s">
        <v>9</v>
      </c>
      <c r="I3" s="771"/>
      <c r="J3" s="771"/>
      <c r="K3" s="771"/>
      <c r="L3" s="771"/>
      <c r="M3" s="771"/>
      <c r="N3" s="771"/>
      <c r="O3" s="772"/>
      <c r="P3" s="770" t="s">
        <v>10</v>
      </c>
      <c r="Q3" s="772"/>
      <c r="R3" s="773"/>
      <c r="S3" s="769"/>
      <c r="T3" s="775"/>
      <c r="U3" s="777"/>
    </row>
    <row r="4" spans="1:22" ht="14.4" thickBot="1" x14ac:dyDescent="0.3">
      <c r="A4" s="769"/>
      <c r="B4" s="769"/>
      <c r="C4" s="770" t="s">
        <v>11</v>
      </c>
      <c r="D4" s="772"/>
      <c r="E4" s="768" t="s">
        <v>12</v>
      </c>
      <c r="F4" s="768" t="s">
        <v>208</v>
      </c>
      <c r="G4" s="768" t="s">
        <v>14</v>
      </c>
      <c r="H4" s="768" t="s">
        <v>15</v>
      </c>
      <c r="I4" s="770" t="s">
        <v>16</v>
      </c>
      <c r="J4" s="772"/>
      <c r="K4" s="768" t="s">
        <v>17</v>
      </c>
      <c r="L4" s="768" t="s">
        <v>208</v>
      </c>
      <c r="M4" s="768" t="s">
        <v>209</v>
      </c>
      <c r="N4" s="768" t="s">
        <v>19</v>
      </c>
      <c r="O4" s="768" t="s">
        <v>210</v>
      </c>
      <c r="P4" s="768" t="s">
        <v>211</v>
      </c>
      <c r="Q4" s="768" t="s">
        <v>17</v>
      </c>
      <c r="R4" s="768" t="s">
        <v>21</v>
      </c>
      <c r="S4" s="769"/>
      <c r="T4" s="775"/>
      <c r="U4" s="777"/>
    </row>
    <row r="5" spans="1:22" ht="75.599999999999994" customHeight="1" thickBot="1" x14ac:dyDescent="0.3">
      <c r="A5" s="769"/>
      <c r="B5" s="769"/>
      <c r="C5" s="136" t="s">
        <v>22</v>
      </c>
      <c r="D5" s="136" t="s">
        <v>23</v>
      </c>
      <c r="E5" s="769"/>
      <c r="F5" s="769"/>
      <c r="G5" s="769"/>
      <c r="H5" s="769"/>
      <c r="I5" s="136" t="s">
        <v>24</v>
      </c>
      <c r="J5" s="136" t="s">
        <v>25</v>
      </c>
      <c r="K5" s="769"/>
      <c r="L5" s="769"/>
      <c r="M5" s="769"/>
      <c r="N5" s="769"/>
      <c r="O5" s="769"/>
      <c r="P5" s="769"/>
      <c r="Q5" s="769"/>
      <c r="R5" s="769"/>
      <c r="S5" s="769"/>
      <c r="T5" s="775"/>
      <c r="U5" s="777"/>
    </row>
    <row r="6" spans="1:22" s="138" customFormat="1" ht="12.6" thickBot="1" x14ac:dyDescent="0.3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2" x14ac:dyDescent="0.25">
      <c r="A7" s="617" t="s">
        <v>888</v>
      </c>
      <c r="B7" s="618" t="s">
        <v>889</v>
      </c>
      <c r="C7" s="139">
        <v>0</v>
      </c>
      <c r="D7" s="139">
        <v>0.2</v>
      </c>
      <c r="E7" s="778">
        <v>0.28999999999999998</v>
      </c>
      <c r="F7" s="140">
        <v>1087</v>
      </c>
      <c r="G7" s="140" t="s">
        <v>744</v>
      </c>
      <c r="H7" s="780"/>
      <c r="I7" s="780"/>
      <c r="J7" s="780"/>
      <c r="K7" s="780"/>
      <c r="L7" s="780"/>
      <c r="M7" s="780"/>
      <c r="N7" s="780"/>
      <c r="O7" s="780"/>
      <c r="P7" s="780"/>
      <c r="Q7" s="780"/>
      <c r="R7" s="782">
        <v>70070010056</v>
      </c>
      <c r="S7" s="780" t="s">
        <v>890</v>
      </c>
      <c r="T7" s="780" t="s">
        <v>31</v>
      </c>
      <c r="U7" s="784"/>
    </row>
    <row r="8" spans="1:22" ht="31.5" customHeight="1" thickBot="1" x14ac:dyDescent="0.3">
      <c r="A8" s="606"/>
      <c r="B8" s="609"/>
      <c r="C8" s="141">
        <f>D7</f>
        <v>0.2</v>
      </c>
      <c r="D8" s="141">
        <f>E7+E8</f>
        <v>0.28999999999999998</v>
      </c>
      <c r="E8" s="779"/>
      <c r="F8" s="142">
        <f>0.09*3500</f>
        <v>315</v>
      </c>
      <c r="G8" s="142" t="s">
        <v>32</v>
      </c>
      <c r="H8" s="781"/>
      <c r="I8" s="781"/>
      <c r="J8" s="781"/>
      <c r="K8" s="781"/>
      <c r="L8" s="781"/>
      <c r="M8" s="781"/>
      <c r="N8" s="781"/>
      <c r="O8" s="781"/>
      <c r="P8" s="781"/>
      <c r="Q8" s="781"/>
      <c r="R8" s="783"/>
      <c r="S8" s="781"/>
      <c r="T8" s="781"/>
      <c r="U8" s="785"/>
    </row>
    <row r="9" spans="1:22" ht="41.25" customHeight="1" thickBot="1" x14ac:dyDescent="0.3">
      <c r="A9" s="40" t="s">
        <v>891</v>
      </c>
      <c r="B9" s="23" t="s">
        <v>892</v>
      </c>
      <c r="C9" s="144">
        <v>0</v>
      </c>
      <c r="D9" s="144">
        <v>0.15</v>
      </c>
      <c r="E9" s="144">
        <v>0.15</v>
      </c>
      <c r="F9" s="145">
        <v>525</v>
      </c>
      <c r="G9" s="145" t="s">
        <v>32</v>
      </c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>
        <v>70070010058</v>
      </c>
      <c r="S9" s="146" t="s">
        <v>890</v>
      </c>
      <c r="T9" s="147" t="s">
        <v>31</v>
      </c>
      <c r="U9" s="148"/>
    </row>
    <row r="10" spans="1:22" ht="36.6" thickBot="1" x14ac:dyDescent="0.3">
      <c r="A10" s="22" t="s">
        <v>893</v>
      </c>
      <c r="B10" s="23" t="s">
        <v>894</v>
      </c>
      <c r="C10" s="144">
        <v>0</v>
      </c>
      <c r="D10" s="144">
        <v>0.36</v>
      </c>
      <c r="E10" s="144">
        <v>0.36</v>
      </c>
      <c r="F10" s="145">
        <f>E10*5000</f>
        <v>1800</v>
      </c>
      <c r="G10" s="145" t="s">
        <v>32</v>
      </c>
      <c r="H10" s="149"/>
      <c r="I10" s="145"/>
      <c r="J10" s="145"/>
      <c r="K10" s="145"/>
      <c r="L10" s="145"/>
      <c r="M10" s="145"/>
      <c r="N10" s="145"/>
      <c r="O10" s="145"/>
      <c r="P10" s="145"/>
      <c r="Q10" s="145"/>
      <c r="R10" s="145">
        <v>70070010063</v>
      </c>
      <c r="S10" s="146" t="s">
        <v>890</v>
      </c>
      <c r="T10" s="147" t="s">
        <v>31</v>
      </c>
      <c r="U10" s="148"/>
    </row>
    <row r="11" spans="1:22" ht="36.6" thickBot="1" x14ac:dyDescent="0.3">
      <c r="A11" s="22" t="s">
        <v>895</v>
      </c>
      <c r="B11" s="23" t="s">
        <v>896</v>
      </c>
      <c r="C11" s="144">
        <v>0</v>
      </c>
      <c r="D11" s="144">
        <v>1.02</v>
      </c>
      <c r="E11" s="144">
        <v>1.02</v>
      </c>
      <c r="F11" s="145">
        <v>8160</v>
      </c>
      <c r="G11" s="145" t="s">
        <v>32</v>
      </c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>
        <v>70070060022</v>
      </c>
      <c r="S11" s="147" t="s">
        <v>890</v>
      </c>
      <c r="T11" s="147" t="s">
        <v>31</v>
      </c>
      <c r="U11" s="148"/>
    </row>
    <row r="12" spans="1:22" ht="38.25" customHeight="1" x14ac:dyDescent="0.25">
      <c r="A12" s="604" t="s">
        <v>897</v>
      </c>
      <c r="B12" s="607" t="s">
        <v>898</v>
      </c>
      <c r="C12" s="32">
        <v>0</v>
      </c>
      <c r="D12" s="32">
        <v>1.28</v>
      </c>
      <c r="E12" s="615">
        <v>1.57</v>
      </c>
      <c r="F12" s="640">
        <v>3200</v>
      </c>
      <c r="G12" s="640" t="s">
        <v>32</v>
      </c>
      <c r="H12" s="640"/>
      <c r="I12" s="640"/>
      <c r="J12" s="640"/>
      <c r="K12" s="640"/>
      <c r="L12" s="640"/>
      <c r="M12" s="640"/>
      <c r="N12" s="640"/>
      <c r="O12" s="640"/>
      <c r="P12" s="640"/>
      <c r="Q12" s="640"/>
      <c r="R12" s="33">
        <v>70070040074</v>
      </c>
      <c r="S12" s="641" t="s">
        <v>890</v>
      </c>
      <c r="T12" s="641" t="s">
        <v>31</v>
      </c>
      <c r="U12" s="642" t="s">
        <v>67</v>
      </c>
      <c r="V12" s="150"/>
    </row>
    <row r="13" spans="1:22" ht="14.4" thickBot="1" x14ac:dyDescent="0.3">
      <c r="A13" s="606"/>
      <c r="B13" s="609"/>
      <c r="C13" s="18">
        <v>1.28</v>
      </c>
      <c r="D13" s="18">
        <v>1.57</v>
      </c>
      <c r="E13" s="639"/>
      <c r="F13" s="631"/>
      <c r="G13" s="631"/>
      <c r="H13" s="631"/>
      <c r="I13" s="631"/>
      <c r="J13" s="631"/>
      <c r="K13" s="631"/>
      <c r="L13" s="631"/>
      <c r="M13" s="631"/>
      <c r="N13" s="631"/>
      <c r="O13" s="631"/>
      <c r="P13" s="631"/>
      <c r="Q13" s="631"/>
      <c r="R13" s="20">
        <v>70070050090</v>
      </c>
      <c r="S13" s="634"/>
      <c r="T13" s="634"/>
      <c r="U13" s="637"/>
    </row>
    <row r="14" spans="1:22" x14ac:dyDescent="0.25">
      <c r="A14" s="604" t="s">
        <v>899</v>
      </c>
      <c r="B14" s="607" t="s">
        <v>900</v>
      </c>
      <c r="C14" s="151">
        <v>0</v>
      </c>
      <c r="D14" s="151">
        <v>0.82</v>
      </c>
      <c r="E14" s="786">
        <v>1.03</v>
      </c>
      <c r="F14" s="152">
        <f>D14*6000</f>
        <v>4920</v>
      </c>
      <c r="G14" s="152" t="s">
        <v>29</v>
      </c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3">
        <v>70070010064</v>
      </c>
      <c r="S14" s="787" t="s">
        <v>890</v>
      </c>
      <c r="T14" s="787" t="s">
        <v>31</v>
      </c>
      <c r="U14" s="789"/>
    </row>
    <row r="15" spans="1:22" ht="32.25" customHeight="1" thickBot="1" x14ac:dyDescent="0.3">
      <c r="A15" s="606"/>
      <c r="B15" s="609"/>
      <c r="C15" s="141">
        <v>0.82</v>
      </c>
      <c r="D15" s="141">
        <v>1.03</v>
      </c>
      <c r="E15" s="779"/>
      <c r="F15" s="154">
        <f>D15*6000</f>
        <v>6180</v>
      </c>
      <c r="G15" s="142" t="s">
        <v>607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2">
        <v>70070020025</v>
      </c>
      <c r="S15" s="788"/>
      <c r="T15" s="788"/>
      <c r="U15" s="785"/>
    </row>
    <row r="16" spans="1:22" ht="36.6" thickBot="1" x14ac:dyDescent="0.3">
      <c r="A16" s="22" t="s">
        <v>901</v>
      </c>
      <c r="B16" s="23" t="s">
        <v>902</v>
      </c>
      <c r="C16" s="144">
        <v>0</v>
      </c>
      <c r="D16" s="144">
        <v>8.7999999999999995E-2</v>
      </c>
      <c r="E16" s="155">
        <v>8.7999999999999995E-2</v>
      </c>
      <c r="F16" s="156">
        <v>400</v>
      </c>
      <c r="G16" s="147" t="s">
        <v>744</v>
      </c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>
        <v>70070010060</v>
      </c>
      <c r="S16" s="147" t="s">
        <v>890</v>
      </c>
      <c r="T16" s="147" t="s">
        <v>31</v>
      </c>
      <c r="U16" s="157"/>
    </row>
    <row r="17" spans="1:21" x14ac:dyDescent="0.25">
      <c r="A17" s="604" t="s">
        <v>903</v>
      </c>
      <c r="B17" s="607" t="s">
        <v>904</v>
      </c>
      <c r="C17" s="151">
        <v>0</v>
      </c>
      <c r="D17" s="151">
        <v>0.49</v>
      </c>
      <c r="E17" s="797">
        <v>0.72</v>
      </c>
      <c r="F17" s="158">
        <v>2000</v>
      </c>
      <c r="G17" s="153" t="s">
        <v>744</v>
      </c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791">
        <v>70070010057</v>
      </c>
      <c r="S17" s="787" t="s">
        <v>890</v>
      </c>
      <c r="T17" s="787" t="s">
        <v>31</v>
      </c>
      <c r="U17" s="789"/>
    </row>
    <row r="18" spans="1:21" ht="42" customHeight="1" thickBot="1" x14ac:dyDescent="0.3">
      <c r="A18" s="606"/>
      <c r="B18" s="609"/>
      <c r="C18" s="141">
        <v>0.49</v>
      </c>
      <c r="D18" s="141">
        <v>0.72</v>
      </c>
      <c r="E18" s="798"/>
      <c r="F18" s="154">
        <v>1150</v>
      </c>
      <c r="G18" s="142" t="s">
        <v>32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783"/>
      <c r="S18" s="788"/>
      <c r="T18" s="788"/>
      <c r="U18" s="785"/>
    </row>
    <row r="19" spans="1:21" ht="36.6" thickBot="1" x14ac:dyDescent="0.3">
      <c r="A19" s="22" t="s">
        <v>905</v>
      </c>
      <c r="B19" s="23" t="s">
        <v>42</v>
      </c>
      <c r="C19" s="144">
        <v>0</v>
      </c>
      <c r="D19" s="144">
        <v>0.93</v>
      </c>
      <c r="E19" s="144">
        <v>0.93</v>
      </c>
      <c r="F19" s="145">
        <f>E19*6000</f>
        <v>5580</v>
      </c>
      <c r="G19" s="145" t="s">
        <v>32</v>
      </c>
      <c r="H19" s="149"/>
      <c r="I19" s="145"/>
      <c r="J19" s="145"/>
      <c r="K19" s="145"/>
      <c r="L19" s="145"/>
      <c r="M19" s="145"/>
      <c r="N19" s="145"/>
      <c r="O19" s="145"/>
      <c r="P19" s="145"/>
      <c r="Q19" s="145"/>
      <c r="R19" s="145">
        <v>70070050101</v>
      </c>
      <c r="S19" s="147" t="s">
        <v>890</v>
      </c>
      <c r="T19" s="147" t="s">
        <v>31</v>
      </c>
      <c r="U19" s="148"/>
    </row>
    <row r="20" spans="1:21" x14ac:dyDescent="0.25">
      <c r="A20" s="604" t="s">
        <v>906</v>
      </c>
      <c r="B20" s="607" t="s">
        <v>907</v>
      </c>
      <c r="C20" s="151">
        <v>0</v>
      </c>
      <c r="D20" s="151">
        <v>1.2</v>
      </c>
      <c r="E20" s="786">
        <v>1.32</v>
      </c>
      <c r="F20" s="152">
        <f>D20*6400</f>
        <v>7680</v>
      </c>
      <c r="G20" s="152" t="s">
        <v>744</v>
      </c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791">
        <v>70070050099</v>
      </c>
      <c r="S20" s="787" t="s">
        <v>890</v>
      </c>
      <c r="T20" s="787" t="s">
        <v>31</v>
      </c>
      <c r="U20" s="794"/>
    </row>
    <row r="21" spans="1:21" x14ac:dyDescent="0.25">
      <c r="A21" s="605"/>
      <c r="B21" s="608"/>
      <c r="C21" s="159">
        <v>1.2</v>
      </c>
      <c r="D21" s="159">
        <v>1.25</v>
      </c>
      <c r="E21" s="790"/>
      <c r="F21" s="160">
        <v>217</v>
      </c>
      <c r="G21" s="160" t="s">
        <v>744</v>
      </c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792"/>
      <c r="S21" s="793"/>
      <c r="T21" s="793"/>
      <c r="U21" s="795"/>
    </row>
    <row r="22" spans="1:21" ht="14.4" thickBot="1" x14ac:dyDescent="0.3">
      <c r="A22" s="606"/>
      <c r="B22" s="609"/>
      <c r="C22" s="159">
        <v>1.25</v>
      </c>
      <c r="D22" s="141">
        <v>1.32</v>
      </c>
      <c r="E22" s="779"/>
      <c r="F22" s="143">
        <v>246</v>
      </c>
      <c r="G22" s="143" t="s">
        <v>32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783"/>
      <c r="S22" s="788"/>
      <c r="T22" s="788"/>
      <c r="U22" s="796"/>
    </row>
    <row r="23" spans="1:21" ht="36.6" thickBot="1" x14ac:dyDescent="0.3">
      <c r="A23" s="22" t="s">
        <v>908</v>
      </c>
      <c r="B23" s="23" t="s">
        <v>909</v>
      </c>
      <c r="C23" s="144">
        <v>0</v>
      </c>
      <c r="D23" s="144">
        <v>0.26</v>
      </c>
      <c r="E23" s="144">
        <v>0.26</v>
      </c>
      <c r="F23" s="145">
        <v>1620</v>
      </c>
      <c r="G23" s="145" t="s">
        <v>744</v>
      </c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>
        <v>70070050092</v>
      </c>
      <c r="S23" s="147" t="s">
        <v>890</v>
      </c>
      <c r="T23" s="147" t="s">
        <v>31</v>
      </c>
      <c r="U23" s="148"/>
    </row>
    <row r="24" spans="1:21" ht="36.6" thickBot="1" x14ac:dyDescent="0.3">
      <c r="A24" s="22" t="s">
        <v>910</v>
      </c>
      <c r="B24" s="23" t="s">
        <v>85</v>
      </c>
      <c r="C24" s="144">
        <v>0</v>
      </c>
      <c r="D24" s="144">
        <v>0.56999999999999995</v>
      </c>
      <c r="E24" s="144">
        <v>0.56999999999999995</v>
      </c>
      <c r="F24" s="145">
        <v>3300</v>
      </c>
      <c r="G24" s="145" t="s">
        <v>744</v>
      </c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>
        <v>70070020026</v>
      </c>
      <c r="S24" s="147" t="s">
        <v>890</v>
      </c>
      <c r="T24" s="147" t="s">
        <v>31</v>
      </c>
      <c r="U24" s="148"/>
    </row>
    <row r="25" spans="1:21" x14ac:dyDescent="0.25">
      <c r="A25" s="604" t="s">
        <v>911</v>
      </c>
      <c r="B25" s="607" t="s">
        <v>912</v>
      </c>
      <c r="C25" s="151">
        <v>0</v>
      </c>
      <c r="D25" s="151">
        <v>0.11</v>
      </c>
      <c r="E25" s="786">
        <v>0.71</v>
      </c>
      <c r="F25" s="791">
        <v>3336</v>
      </c>
      <c r="G25" s="791" t="s">
        <v>744</v>
      </c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>
        <v>70070020029</v>
      </c>
      <c r="S25" s="787" t="s">
        <v>890</v>
      </c>
      <c r="T25" s="787" t="s">
        <v>31</v>
      </c>
      <c r="U25" s="794"/>
    </row>
    <row r="26" spans="1:21" ht="30.6" customHeight="1" thickBot="1" x14ac:dyDescent="0.3">
      <c r="A26" s="606"/>
      <c r="B26" s="609"/>
      <c r="C26" s="141">
        <v>0.11</v>
      </c>
      <c r="D26" s="141">
        <v>0.71</v>
      </c>
      <c r="E26" s="779"/>
      <c r="F26" s="783"/>
      <c r="G26" s="78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>
        <v>70070020022</v>
      </c>
      <c r="S26" s="788"/>
      <c r="T26" s="788"/>
      <c r="U26" s="796"/>
    </row>
    <row r="27" spans="1:21" ht="36.6" thickBot="1" x14ac:dyDescent="0.3">
      <c r="A27" s="22" t="s">
        <v>913</v>
      </c>
      <c r="B27" s="23" t="s">
        <v>914</v>
      </c>
      <c r="C27" s="144">
        <v>0</v>
      </c>
      <c r="D27" s="144">
        <v>0.09</v>
      </c>
      <c r="E27" s="144">
        <v>0.09</v>
      </c>
      <c r="F27" s="145">
        <v>350</v>
      </c>
      <c r="G27" s="145" t="s">
        <v>744</v>
      </c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>
        <v>70070050094</v>
      </c>
      <c r="S27" s="147" t="s">
        <v>890</v>
      </c>
      <c r="T27" s="147" t="s">
        <v>31</v>
      </c>
      <c r="U27" s="148"/>
    </row>
    <row r="28" spans="1:21" ht="36.6" thickBot="1" x14ac:dyDescent="0.3">
      <c r="A28" s="22" t="s">
        <v>915</v>
      </c>
      <c r="B28" s="23" t="s">
        <v>240</v>
      </c>
      <c r="C28" s="144">
        <v>0</v>
      </c>
      <c r="D28" s="144">
        <v>0.33</v>
      </c>
      <c r="E28" s="144">
        <v>0.33</v>
      </c>
      <c r="F28" s="145">
        <v>1800</v>
      </c>
      <c r="G28" s="145" t="s">
        <v>32</v>
      </c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>
        <v>70070050103</v>
      </c>
      <c r="S28" s="147" t="s">
        <v>890</v>
      </c>
      <c r="T28" s="147" t="s">
        <v>31</v>
      </c>
      <c r="U28" s="148"/>
    </row>
    <row r="29" spans="1:21" x14ac:dyDescent="0.25">
      <c r="A29" s="604" t="s">
        <v>916</v>
      </c>
      <c r="B29" s="607" t="s">
        <v>373</v>
      </c>
      <c r="C29" s="151">
        <v>0</v>
      </c>
      <c r="D29" s="151">
        <v>0.17</v>
      </c>
      <c r="E29" s="786">
        <v>0.24</v>
      </c>
      <c r="F29" s="791">
        <f>E29*2500</f>
        <v>600</v>
      </c>
      <c r="G29" s="791" t="s">
        <v>32</v>
      </c>
      <c r="H29" s="791"/>
      <c r="I29" s="791"/>
      <c r="J29" s="791"/>
      <c r="K29" s="791"/>
      <c r="L29" s="791"/>
      <c r="M29" s="791"/>
      <c r="N29" s="791"/>
      <c r="O29" s="791"/>
      <c r="P29" s="791"/>
      <c r="Q29" s="791"/>
      <c r="R29" s="152">
        <v>70070010059</v>
      </c>
      <c r="S29" s="787" t="s">
        <v>890</v>
      </c>
      <c r="T29" s="787" t="s">
        <v>31</v>
      </c>
      <c r="U29" s="789"/>
    </row>
    <row r="30" spans="1:21" x14ac:dyDescent="0.25">
      <c r="A30" s="605"/>
      <c r="B30" s="608"/>
      <c r="C30" s="159">
        <v>0.17</v>
      </c>
      <c r="D30" s="159">
        <v>0.23</v>
      </c>
      <c r="E30" s="790"/>
      <c r="F30" s="792"/>
      <c r="G30" s="792"/>
      <c r="H30" s="792"/>
      <c r="I30" s="792"/>
      <c r="J30" s="792"/>
      <c r="K30" s="792"/>
      <c r="L30" s="792"/>
      <c r="M30" s="792"/>
      <c r="N30" s="792"/>
      <c r="O30" s="792"/>
      <c r="P30" s="792"/>
      <c r="Q30" s="792"/>
      <c r="R30" s="160">
        <v>70070010065</v>
      </c>
      <c r="S30" s="793"/>
      <c r="T30" s="793"/>
      <c r="U30" s="799"/>
    </row>
    <row r="31" spans="1:21" ht="14.4" thickBot="1" x14ac:dyDescent="0.3">
      <c r="A31" s="606"/>
      <c r="B31" s="609"/>
      <c r="C31" s="141">
        <v>0.23</v>
      </c>
      <c r="D31" s="141">
        <v>0.24</v>
      </c>
      <c r="E31" s="779"/>
      <c r="F31" s="783"/>
      <c r="G31" s="783"/>
      <c r="H31" s="783"/>
      <c r="I31" s="783"/>
      <c r="J31" s="783"/>
      <c r="K31" s="783"/>
      <c r="L31" s="783"/>
      <c r="M31" s="783"/>
      <c r="N31" s="783"/>
      <c r="O31" s="783"/>
      <c r="P31" s="783"/>
      <c r="Q31" s="783"/>
      <c r="R31" s="143" t="s">
        <v>917</v>
      </c>
      <c r="S31" s="788"/>
      <c r="T31" s="788"/>
      <c r="U31" s="785"/>
    </row>
    <row r="32" spans="1:21" x14ac:dyDescent="0.25">
      <c r="A32" s="604" t="s">
        <v>918</v>
      </c>
      <c r="B32" s="607" t="s">
        <v>230</v>
      </c>
      <c r="C32" s="800">
        <v>0</v>
      </c>
      <c r="D32" s="800">
        <v>0.57999999999999996</v>
      </c>
      <c r="E32" s="786">
        <v>0.57999999999999996</v>
      </c>
      <c r="F32" s="152">
        <v>1712</v>
      </c>
      <c r="G32" s="152" t="s">
        <v>29</v>
      </c>
      <c r="H32" s="791"/>
      <c r="I32" s="791"/>
      <c r="J32" s="791"/>
      <c r="K32" s="791"/>
      <c r="L32" s="791"/>
      <c r="M32" s="791"/>
      <c r="N32" s="791"/>
      <c r="O32" s="791"/>
      <c r="P32" s="791"/>
      <c r="Q32" s="791"/>
      <c r="R32" s="791">
        <v>70070050091</v>
      </c>
      <c r="S32" s="787" t="s">
        <v>890</v>
      </c>
      <c r="T32" s="787" t="s">
        <v>31</v>
      </c>
      <c r="U32" s="794"/>
    </row>
    <row r="33" spans="1:22" x14ac:dyDescent="0.25">
      <c r="A33" s="605"/>
      <c r="B33" s="608"/>
      <c r="C33" s="801"/>
      <c r="D33" s="801"/>
      <c r="E33" s="790"/>
      <c r="F33" s="160">
        <v>100</v>
      </c>
      <c r="G33" s="160" t="s">
        <v>29</v>
      </c>
      <c r="H33" s="792"/>
      <c r="I33" s="792"/>
      <c r="J33" s="792"/>
      <c r="K33" s="792"/>
      <c r="L33" s="792"/>
      <c r="M33" s="792"/>
      <c r="N33" s="792"/>
      <c r="O33" s="792"/>
      <c r="P33" s="792"/>
      <c r="Q33" s="792"/>
      <c r="R33" s="792"/>
      <c r="S33" s="793"/>
      <c r="T33" s="793"/>
      <c r="U33" s="795"/>
    </row>
    <row r="34" spans="1:22" x14ac:dyDescent="0.25">
      <c r="A34" s="605"/>
      <c r="B34" s="608"/>
      <c r="C34" s="801"/>
      <c r="D34" s="801"/>
      <c r="E34" s="790"/>
      <c r="F34" s="160">
        <v>334</v>
      </c>
      <c r="G34" s="160" t="s">
        <v>29</v>
      </c>
      <c r="H34" s="792"/>
      <c r="I34" s="792"/>
      <c r="J34" s="792"/>
      <c r="K34" s="792"/>
      <c r="L34" s="792"/>
      <c r="M34" s="792"/>
      <c r="N34" s="792"/>
      <c r="O34" s="792"/>
      <c r="P34" s="792"/>
      <c r="Q34" s="792"/>
      <c r="R34" s="792"/>
      <c r="S34" s="793"/>
      <c r="T34" s="793"/>
      <c r="U34" s="795"/>
    </row>
    <row r="35" spans="1:22" ht="14.4" thickBot="1" x14ac:dyDescent="0.3">
      <c r="A35" s="606"/>
      <c r="B35" s="609"/>
      <c r="C35" s="802"/>
      <c r="D35" s="802"/>
      <c r="E35" s="779"/>
      <c r="F35" s="143">
        <v>1820</v>
      </c>
      <c r="G35" s="143" t="s">
        <v>29</v>
      </c>
      <c r="H35" s="783"/>
      <c r="I35" s="783"/>
      <c r="J35" s="783"/>
      <c r="K35" s="783"/>
      <c r="L35" s="783"/>
      <c r="M35" s="783"/>
      <c r="N35" s="783"/>
      <c r="O35" s="783"/>
      <c r="P35" s="783"/>
      <c r="Q35" s="783"/>
      <c r="R35" s="143">
        <v>70070050051</v>
      </c>
      <c r="S35" s="788"/>
      <c r="T35" s="788"/>
      <c r="U35" s="796"/>
    </row>
    <row r="36" spans="1:22" ht="36.6" thickBot="1" x14ac:dyDescent="0.3">
      <c r="A36" s="22" t="s">
        <v>919</v>
      </c>
      <c r="B36" s="23" t="s">
        <v>221</v>
      </c>
      <c r="C36" s="144">
        <v>0</v>
      </c>
      <c r="D36" s="144">
        <v>0.08</v>
      </c>
      <c r="E36" s="144">
        <v>0.08</v>
      </c>
      <c r="F36" s="145">
        <v>525</v>
      </c>
      <c r="G36" s="145" t="s">
        <v>29</v>
      </c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>
        <v>70070050097</v>
      </c>
      <c r="S36" s="147" t="s">
        <v>890</v>
      </c>
      <c r="T36" s="147" t="s">
        <v>31</v>
      </c>
      <c r="U36" s="148"/>
    </row>
    <row r="37" spans="1:22" ht="35.25" customHeight="1" x14ac:dyDescent="0.25">
      <c r="A37" s="604" t="s">
        <v>920</v>
      </c>
      <c r="B37" s="607" t="s">
        <v>921</v>
      </c>
      <c r="C37" s="32">
        <v>0</v>
      </c>
      <c r="D37" s="32">
        <v>0.29599999999999999</v>
      </c>
      <c r="E37" s="615">
        <v>1.087</v>
      </c>
      <c r="F37" s="34">
        <v>2450</v>
      </c>
      <c r="G37" s="34" t="s">
        <v>29</v>
      </c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>
        <v>70070040072</v>
      </c>
      <c r="S37" s="641" t="s">
        <v>890</v>
      </c>
      <c r="T37" s="641" t="s">
        <v>31</v>
      </c>
      <c r="U37" s="642" t="s">
        <v>67</v>
      </c>
      <c r="V37" s="162"/>
    </row>
    <row r="38" spans="1:22" ht="33" customHeight="1" thickBot="1" x14ac:dyDescent="0.3">
      <c r="A38" s="606"/>
      <c r="B38" s="609"/>
      <c r="C38" s="18">
        <f>D37</f>
        <v>0.29599999999999999</v>
      </c>
      <c r="D38" s="18">
        <f>C38+0.791</f>
        <v>1.087</v>
      </c>
      <c r="E38" s="639"/>
      <c r="F38" s="19">
        <v>3600</v>
      </c>
      <c r="G38" s="19" t="s">
        <v>32</v>
      </c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20">
        <v>70070040073</v>
      </c>
      <c r="S38" s="634"/>
      <c r="T38" s="634"/>
      <c r="U38" s="637"/>
      <c r="V38" s="162"/>
    </row>
    <row r="39" spans="1:22" ht="36.6" thickBot="1" x14ac:dyDescent="0.3">
      <c r="A39" s="22" t="s">
        <v>922</v>
      </c>
      <c r="B39" s="23" t="s">
        <v>923</v>
      </c>
      <c r="C39" s="144">
        <v>0</v>
      </c>
      <c r="D39" s="144">
        <v>0.4</v>
      </c>
      <c r="E39" s="144">
        <v>0.4</v>
      </c>
      <c r="F39" s="145">
        <v>1800</v>
      </c>
      <c r="G39" s="145" t="s">
        <v>32</v>
      </c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>
        <v>70270150112</v>
      </c>
      <c r="S39" s="147" t="s">
        <v>890</v>
      </c>
      <c r="T39" s="147" t="s">
        <v>31</v>
      </c>
      <c r="U39" s="148"/>
    </row>
    <row r="40" spans="1:22" ht="48.6" thickBot="1" x14ac:dyDescent="0.3">
      <c r="A40" s="22" t="s">
        <v>924</v>
      </c>
      <c r="B40" s="23" t="s">
        <v>925</v>
      </c>
      <c r="C40" s="26">
        <v>0</v>
      </c>
      <c r="D40" s="26">
        <v>0.39</v>
      </c>
      <c r="E40" s="26">
        <v>0.39</v>
      </c>
      <c r="F40" s="27">
        <v>1800</v>
      </c>
      <c r="G40" s="27" t="s">
        <v>32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>
        <v>70070040071</v>
      </c>
      <c r="S40" s="3" t="s">
        <v>890</v>
      </c>
      <c r="T40" s="3" t="s">
        <v>31</v>
      </c>
      <c r="U40" s="5" t="s">
        <v>67</v>
      </c>
    </row>
    <row r="41" spans="1:22" ht="36.6" thickBot="1" x14ac:dyDescent="0.3">
      <c r="A41" s="22" t="s">
        <v>926</v>
      </c>
      <c r="B41" s="23" t="s">
        <v>927</v>
      </c>
      <c r="C41" s="144">
        <v>0</v>
      </c>
      <c r="D41" s="144">
        <v>0.19</v>
      </c>
      <c r="E41" s="144">
        <v>0.19</v>
      </c>
      <c r="F41" s="145">
        <v>770</v>
      </c>
      <c r="G41" s="145" t="s">
        <v>29</v>
      </c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>
        <v>70070050098</v>
      </c>
      <c r="S41" s="147" t="s">
        <v>890</v>
      </c>
      <c r="T41" s="147" t="s">
        <v>31</v>
      </c>
      <c r="U41" s="148"/>
    </row>
    <row r="42" spans="1:22" ht="36.6" thickBot="1" x14ac:dyDescent="0.3">
      <c r="A42" s="22" t="s">
        <v>928</v>
      </c>
      <c r="B42" s="23" t="s">
        <v>247</v>
      </c>
      <c r="C42" s="144">
        <v>0</v>
      </c>
      <c r="D42" s="144">
        <v>0.64</v>
      </c>
      <c r="E42" s="144">
        <v>0.64</v>
      </c>
      <c r="F42" s="145">
        <v>3000</v>
      </c>
      <c r="G42" s="145" t="s">
        <v>29</v>
      </c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>
        <v>70070040069</v>
      </c>
      <c r="S42" s="147" t="s">
        <v>890</v>
      </c>
      <c r="T42" s="147" t="s">
        <v>31</v>
      </c>
      <c r="U42" s="148"/>
    </row>
    <row r="43" spans="1:22" ht="36.6" thickBot="1" x14ac:dyDescent="0.3">
      <c r="A43" s="22" t="s">
        <v>929</v>
      </c>
      <c r="B43" s="23" t="s">
        <v>930</v>
      </c>
      <c r="C43" s="144">
        <v>0</v>
      </c>
      <c r="D43" s="144">
        <v>0.1</v>
      </c>
      <c r="E43" s="144">
        <v>0.1</v>
      </c>
      <c r="F43" s="145">
        <v>350</v>
      </c>
      <c r="G43" s="145" t="s">
        <v>32</v>
      </c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>
        <v>70070050104</v>
      </c>
      <c r="S43" s="147" t="s">
        <v>890</v>
      </c>
      <c r="T43" s="147" t="s">
        <v>31</v>
      </c>
      <c r="U43" s="148"/>
    </row>
    <row r="44" spans="1:22" ht="53.25" customHeight="1" x14ac:dyDescent="0.25">
      <c r="A44" s="604" t="s">
        <v>931</v>
      </c>
      <c r="B44" s="607" t="s">
        <v>403</v>
      </c>
      <c r="C44" s="151">
        <v>0</v>
      </c>
      <c r="D44" s="151">
        <v>1.25</v>
      </c>
      <c r="E44" s="786">
        <v>1.32</v>
      </c>
      <c r="F44" s="152">
        <v>8820</v>
      </c>
      <c r="G44" s="152" t="s">
        <v>29</v>
      </c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3">
        <v>70070020054</v>
      </c>
      <c r="S44" s="787" t="s">
        <v>890</v>
      </c>
      <c r="T44" s="787" t="s">
        <v>31</v>
      </c>
      <c r="U44" s="789"/>
    </row>
    <row r="45" spans="1:22" ht="24" customHeight="1" thickBot="1" x14ac:dyDescent="0.3">
      <c r="A45" s="606"/>
      <c r="B45" s="609"/>
      <c r="C45" s="141">
        <v>1.25</v>
      </c>
      <c r="D45" s="141">
        <v>1.32</v>
      </c>
      <c r="E45" s="779"/>
      <c r="F45" s="143">
        <v>457</v>
      </c>
      <c r="G45" s="143" t="s">
        <v>29</v>
      </c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2">
        <v>70070040041</v>
      </c>
      <c r="S45" s="788"/>
      <c r="T45" s="788"/>
      <c r="U45" s="785"/>
    </row>
    <row r="46" spans="1:22" x14ac:dyDescent="0.25">
      <c r="A46" s="604" t="s">
        <v>932</v>
      </c>
      <c r="B46" s="607" t="s">
        <v>263</v>
      </c>
      <c r="C46" s="151">
        <v>0</v>
      </c>
      <c r="D46" s="151">
        <v>0.22</v>
      </c>
      <c r="E46" s="786">
        <v>0.33</v>
      </c>
      <c r="F46" s="791">
        <v>1528</v>
      </c>
      <c r="G46" s="791" t="s">
        <v>32</v>
      </c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3">
        <v>70070020030</v>
      </c>
      <c r="S46" s="787" t="s">
        <v>890</v>
      </c>
      <c r="T46" s="787" t="s">
        <v>31</v>
      </c>
      <c r="U46" s="789"/>
    </row>
    <row r="47" spans="1:22" ht="30" customHeight="1" thickBot="1" x14ac:dyDescent="0.3">
      <c r="A47" s="606"/>
      <c r="B47" s="609"/>
      <c r="C47" s="141">
        <v>0.22</v>
      </c>
      <c r="D47" s="141">
        <v>0.33</v>
      </c>
      <c r="E47" s="779"/>
      <c r="F47" s="783"/>
      <c r="G47" s="78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>
        <v>70070020050</v>
      </c>
      <c r="S47" s="788"/>
      <c r="T47" s="788"/>
      <c r="U47" s="785"/>
    </row>
    <row r="48" spans="1:22" ht="23.25" customHeight="1" x14ac:dyDescent="0.25">
      <c r="A48" s="604" t="s">
        <v>933</v>
      </c>
      <c r="B48" s="607" t="s">
        <v>934</v>
      </c>
      <c r="C48" s="151">
        <v>0</v>
      </c>
      <c r="D48" s="151">
        <f>1+0.07</f>
        <v>1.07</v>
      </c>
      <c r="E48" s="786">
        <v>1.3149999999999999</v>
      </c>
      <c r="F48" s="152">
        <f>D48*6500</f>
        <v>6955</v>
      </c>
      <c r="G48" s="152" t="s">
        <v>29</v>
      </c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>
        <f>R49</f>
        <v>70070060023</v>
      </c>
      <c r="S48" s="787" t="s">
        <v>890</v>
      </c>
      <c r="T48" s="787" t="s">
        <v>31</v>
      </c>
      <c r="U48" s="789"/>
    </row>
    <row r="49" spans="1:21" ht="51.75" customHeight="1" thickBot="1" x14ac:dyDescent="0.3">
      <c r="A49" s="606"/>
      <c r="B49" s="609"/>
      <c r="C49" s="141">
        <f>D48</f>
        <v>1.07</v>
      </c>
      <c r="D49" s="141">
        <f>C49+0.245</f>
        <v>1.3149999999999999</v>
      </c>
      <c r="E49" s="779"/>
      <c r="F49" s="143">
        <f>0.31*6000</f>
        <v>1860</v>
      </c>
      <c r="G49" s="143" t="s">
        <v>32</v>
      </c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>
        <v>70070060023</v>
      </c>
      <c r="S49" s="788"/>
      <c r="T49" s="788"/>
      <c r="U49" s="785"/>
    </row>
    <row r="50" spans="1:21" x14ac:dyDescent="0.25">
      <c r="A50" s="604" t="s">
        <v>935</v>
      </c>
      <c r="B50" s="607" t="s">
        <v>936</v>
      </c>
      <c r="C50" s="151">
        <v>0</v>
      </c>
      <c r="D50" s="151">
        <v>0.77</v>
      </c>
      <c r="E50" s="786">
        <v>1.86</v>
      </c>
      <c r="F50" s="152">
        <v>7234</v>
      </c>
      <c r="G50" s="152" t="s">
        <v>29</v>
      </c>
      <c r="H50" s="791" t="s">
        <v>708</v>
      </c>
      <c r="I50" s="791">
        <v>0.01</v>
      </c>
      <c r="J50" s="787" t="s">
        <v>937</v>
      </c>
      <c r="K50" s="791">
        <v>18</v>
      </c>
      <c r="L50" s="791">
        <v>126</v>
      </c>
      <c r="M50" s="791"/>
      <c r="N50" s="791"/>
      <c r="O50" s="791" t="s">
        <v>464</v>
      </c>
      <c r="P50" s="791"/>
      <c r="Q50" s="791"/>
      <c r="R50" s="791">
        <v>70070010061</v>
      </c>
      <c r="S50" s="787" t="s">
        <v>890</v>
      </c>
      <c r="T50" s="787" t="s">
        <v>31</v>
      </c>
      <c r="U50" s="789"/>
    </row>
    <row r="51" spans="1:21" x14ac:dyDescent="0.25">
      <c r="A51" s="605"/>
      <c r="B51" s="608"/>
      <c r="C51" s="159">
        <v>0.77</v>
      </c>
      <c r="D51" s="159">
        <v>1.56</v>
      </c>
      <c r="E51" s="790"/>
      <c r="F51" s="163">
        <v>6241</v>
      </c>
      <c r="G51" s="161" t="s">
        <v>607</v>
      </c>
      <c r="H51" s="792"/>
      <c r="I51" s="792"/>
      <c r="J51" s="793"/>
      <c r="K51" s="792"/>
      <c r="L51" s="792"/>
      <c r="M51" s="792"/>
      <c r="N51" s="792"/>
      <c r="O51" s="792"/>
      <c r="P51" s="792"/>
      <c r="Q51" s="792"/>
      <c r="R51" s="792"/>
      <c r="S51" s="793"/>
      <c r="T51" s="793"/>
      <c r="U51" s="799"/>
    </row>
    <row r="52" spans="1:21" ht="25.5" customHeight="1" x14ac:dyDescent="0.25">
      <c r="A52" s="605"/>
      <c r="B52" s="608"/>
      <c r="C52" s="159">
        <v>1.56</v>
      </c>
      <c r="D52" s="159">
        <v>1.76</v>
      </c>
      <c r="E52" s="790"/>
      <c r="F52" s="160">
        <v>487</v>
      </c>
      <c r="G52" s="160" t="s">
        <v>607</v>
      </c>
      <c r="H52" s="792"/>
      <c r="I52" s="792"/>
      <c r="J52" s="793"/>
      <c r="K52" s="792"/>
      <c r="L52" s="792"/>
      <c r="M52" s="792"/>
      <c r="N52" s="792"/>
      <c r="O52" s="792"/>
      <c r="P52" s="792"/>
      <c r="Q52" s="792"/>
      <c r="R52" s="160">
        <v>70070010066</v>
      </c>
      <c r="S52" s="793"/>
      <c r="T52" s="793"/>
      <c r="U52" s="799"/>
    </row>
    <row r="53" spans="1:21" ht="26.25" customHeight="1" thickBot="1" x14ac:dyDescent="0.3">
      <c r="A53" s="606"/>
      <c r="B53" s="609"/>
      <c r="C53" s="141">
        <v>1.76</v>
      </c>
      <c r="D53" s="141">
        <v>1.86</v>
      </c>
      <c r="E53" s="779"/>
      <c r="F53" s="154">
        <v>848</v>
      </c>
      <c r="G53" s="142" t="s">
        <v>29</v>
      </c>
      <c r="H53" s="783"/>
      <c r="I53" s="783"/>
      <c r="J53" s="788"/>
      <c r="K53" s="783"/>
      <c r="L53" s="783"/>
      <c r="M53" s="783"/>
      <c r="N53" s="783"/>
      <c r="O53" s="783"/>
      <c r="P53" s="783"/>
      <c r="Q53" s="783"/>
      <c r="R53" s="143">
        <v>70070020020</v>
      </c>
      <c r="S53" s="788"/>
      <c r="T53" s="788"/>
      <c r="U53" s="785"/>
    </row>
    <row r="54" spans="1:21" ht="36.6" thickBot="1" x14ac:dyDescent="0.3">
      <c r="A54" s="22" t="s">
        <v>938</v>
      </c>
      <c r="B54" s="23" t="s">
        <v>939</v>
      </c>
      <c r="C54" s="144">
        <v>0</v>
      </c>
      <c r="D54" s="144">
        <v>0.12</v>
      </c>
      <c r="E54" s="144">
        <v>0.12</v>
      </c>
      <c r="F54" s="145">
        <v>600</v>
      </c>
      <c r="G54" s="145" t="s">
        <v>29</v>
      </c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>
        <v>70070040068</v>
      </c>
      <c r="S54" s="147" t="s">
        <v>890</v>
      </c>
      <c r="T54" s="147" t="s">
        <v>31</v>
      </c>
      <c r="U54" s="148"/>
    </row>
    <row r="55" spans="1:21" ht="36.6" thickBot="1" x14ac:dyDescent="0.3">
      <c r="A55" s="22" t="s">
        <v>940</v>
      </c>
      <c r="B55" s="23" t="s">
        <v>399</v>
      </c>
      <c r="C55" s="144">
        <v>0</v>
      </c>
      <c r="D55" s="144">
        <v>0.3</v>
      </c>
      <c r="E55" s="144">
        <v>0.3</v>
      </c>
      <c r="F55" s="145">
        <v>1500</v>
      </c>
      <c r="G55" s="145" t="s">
        <v>29</v>
      </c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>
        <v>70070050093</v>
      </c>
      <c r="S55" s="147" t="s">
        <v>890</v>
      </c>
      <c r="T55" s="147" t="s">
        <v>31</v>
      </c>
      <c r="U55" s="148"/>
    </row>
    <row r="56" spans="1:21" ht="36.6" thickBot="1" x14ac:dyDescent="0.3">
      <c r="A56" s="22" t="s">
        <v>941</v>
      </c>
      <c r="B56" s="23" t="s">
        <v>942</v>
      </c>
      <c r="C56" s="144">
        <v>0</v>
      </c>
      <c r="D56" s="144">
        <v>0.3</v>
      </c>
      <c r="E56" s="144">
        <v>0.3</v>
      </c>
      <c r="F56" s="145">
        <v>1764</v>
      </c>
      <c r="G56" s="145" t="s">
        <v>29</v>
      </c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>
        <v>70070010055</v>
      </c>
      <c r="S56" s="147" t="s">
        <v>890</v>
      </c>
      <c r="T56" s="147" t="s">
        <v>31</v>
      </c>
      <c r="U56" s="148"/>
    </row>
    <row r="57" spans="1:21" x14ac:dyDescent="0.25">
      <c r="A57" s="604" t="s">
        <v>943</v>
      </c>
      <c r="B57" s="607" t="s">
        <v>944</v>
      </c>
      <c r="C57" s="151">
        <v>0</v>
      </c>
      <c r="D57" s="151">
        <v>0.55000000000000004</v>
      </c>
      <c r="E57" s="786">
        <v>1.24</v>
      </c>
      <c r="F57" s="152">
        <v>3300</v>
      </c>
      <c r="G57" s="152" t="s">
        <v>744</v>
      </c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791">
        <v>70070030039</v>
      </c>
      <c r="S57" s="787" t="s">
        <v>890</v>
      </c>
      <c r="T57" s="787" t="s">
        <v>31</v>
      </c>
      <c r="U57" s="789"/>
    </row>
    <row r="58" spans="1:21" ht="49.5" customHeight="1" thickBot="1" x14ac:dyDescent="0.3">
      <c r="A58" s="606"/>
      <c r="B58" s="609"/>
      <c r="C58" s="141">
        <v>0.55000000000000004</v>
      </c>
      <c r="D58" s="141">
        <v>1.24</v>
      </c>
      <c r="E58" s="779"/>
      <c r="F58" s="154">
        <v>4800</v>
      </c>
      <c r="G58" s="142" t="s">
        <v>32</v>
      </c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783"/>
      <c r="S58" s="788"/>
      <c r="T58" s="788"/>
      <c r="U58" s="785"/>
    </row>
    <row r="59" spans="1:21" ht="36.6" thickBot="1" x14ac:dyDescent="0.3">
      <c r="A59" s="22" t="s">
        <v>945</v>
      </c>
      <c r="B59" s="23" t="s">
        <v>946</v>
      </c>
      <c r="C59" s="144">
        <v>0</v>
      </c>
      <c r="D59" s="144">
        <v>0.25</v>
      </c>
      <c r="E59" s="144">
        <v>0.25</v>
      </c>
      <c r="F59" s="145">
        <v>1000</v>
      </c>
      <c r="G59" s="145" t="s">
        <v>29</v>
      </c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>
        <v>70070050096</v>
      </c>
      <c r="S59" s="147" t="s">
        <v>890</v>
      </c>
      <c r="T59" s="147" t="s">
        <v>31</v>
      </c>
      <c r="U59" s="148"/>
    </row>
    <row r="60" spans="1:21" ht="36.6" thickBot="1" x14ac:dyDescent="0.3">
      <c r="A60" s="22" t="s">
        <v>947</v>
      </c>
      <c r="B60" s="23" t="s">
        <v>948</v>
      </c>
      <c r="C60" s="144">
        <v>0</v>
      </c>
      <c r="D60" s="144">
        <v>0.12</v>
      </c>
      <c r="E60" s="144">
        <v>0.12</v>
      </c>
      <c r="F60" s="145">
        <v>525</v>
      </c>
      <c r="G60" s="145" t="s">
        <v>32</v>
      </c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>
        <v>70070050095</v>
      </c>
      <c r="S60" s="147" t="s">
        <v>890</v>
      </c>
      <c r="T60" s="147" t="s">
        <v>31</v>
      </c>
      <c r="U60" s="148"/>
    </row>
    <row r="61" spans="1:21" ht="36.6" thickBot="1" x14ac:dyDescent="0.3">
      <c r="A61" s="22" t="s">
        <v>949</v>
      </c>
      <c r="B61" s="23" t="s">
        <v>950</v>
      </c>
      <c r="C61" s="144">
        <v>0</v>
      </c>
      <c r="D61" s="144">
        <v>0.88</v>
      </c>
      <c r="E61" s="144">
        <v>0.88</v>
      </c>
      <c r="F61" s="145">
        <v>4840</v>
      </c>
      <c r="G61" s="145" t="s">
        <v>29</v>
      </c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>
        <v>70070040070</v>
      </c>
      <c r="S61" s="147" t="s">
        <v>890</v>
      </c>
      <c r="T61" s="147" t="s">
        <v>31</v>
      </c>
      <c r="U61" s="148"/>
    </row>
    <row r="62" spans="1:21" x14ac:dyDescent="0.25">
      <c r="A62" s="604" t="s">
        <v>951</v>
      </c>
      <c r="B62" s="607" t="s">
        <v>952</v>
      </c>
      <c r="C62" s="786">
        <v>0</v>
      </c>
      <c r="D62" s="786">
        <v>1.1399999999999999</v>
      </c>
      <c r="E62" s="786">
        <v>1.1399999999999999</v>
      </c>
      <c r="F62" s="791">
        <v>4332</v>
      </c>
      <c r="G62" s="791" t="s">
        <v>32</v>
      </c>
      <c r="H62" s="791"/>
      <c r="I62" s="791"/>
      <c r="J62" s="791"/>
      <c r="K62" s="791"/>
      <c r="L62" s="791"/>
      <c r="M62" s="791"/>
      <c r="N62" s="791"/>
      <c r="O62" s="791"/>
      <c r="P62" s="791"/>
      <c r="Q62" s="791"/>
      <c r="R62" s="152">
        <v>70070030043</v>
      </c>
      <c r="S62" s="787" t="s">
        <v>890</v>
      </c>
      <c r="T62" s="787" t="s">
        <v>31</v>
      </c>
      <c r="U62" s="642" t="s">
        <v>67</v>
      </c>
    </row>
    <row r="63" spans="1:21" x14ac:dyDescent="0.25">
      <c r="A63" s="605"/>
      <c r="B63" s="608"/>
      <c r="C63" s="790"/>
      <c r="D63" s="790"/>
      <c r="E63" s="790"/>
      <c r="F63" s="792"/>
      <c r="G63" s="792"/>
      <c r="H63" s="792"/>
      <c r="I63" s="792"/>
      <c r="J63" s="792"/>
      <c r="K63" s="792"/>
      <c r="L63" s="792"/>
      <c r="M63" s="792"/>
      <c r="N63" s="792"/>
      <c r="O63" s="792"/>
      <c r="P63" s="792"/>
      <c r="Q63" s="792"/>
      <c r="R63" s="160">
        <v>70070020035</v>
      </c>
      <c r="S63" s="793"/>
      <c r="T63" s="793"/>
      <c r="U63" s="636"/>
    </row>
    <row r="64" spans="1:21" ht="22.2" customHeight="1" thickBot="1" x14ac:dyDescent="0.3">
      <c r="A64" s="606"/>
      <c r="B64" s="609"/>
      <c r="C64" s="779"/>
      <c r="D64" s="779"/>
      <c r="E64" s="779"/>
      <c r="F64" s="783"/>
      <c r="G64" s="783"/>
      <c r="H64" s="783"/>
      <c r="I64" s="783"/>
      <c r="J64" s="783"/>
      <c r="K64" s="783"/>
      <c r="L64" s="783"/>
      <c r="M64" s="783"/>
      <c r="N64" s="783"/>
      <c r="O64" s="783"/>
      <c r="P64" s="783"/>
      <c r="Q64" s="783"/>
      <c r="R64" s="142">
        <v>70070020058</v>
      </c>
      <c r="S64" s="788"/>
      <c r="T64" s="788"/>
      <c r="U64" s="637"/>
    </row>
    <row r="65" spans="1:32" ht="36.6" thickBot="1" x14ac:dyDescent="0.3">
      <c r="A65" s="22" t="s">
        <v>953</v>
      </c>
      <c r="B65" s="23" t="s">
        <v>954</v>
      </c>
      <c r="C65" s="144">
        <v>0</v>
      </c>
      <c r="D65" s="144">
        <v>0.43</v>
      </c>
      <c r="E65" s="144">
        <v>0.43</v>
      </c>
      <c r="F65" s="145">
        <v>2236</v>
      </c>
      <c r="G65" s="145" t="s">
        <v>32</v>
      </c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>
        <v>70070040075</v>
      </c>
      <c r="S65" s="147" t="s">
        <v>890</v>
      </c>
      <c r="T65" s="147" t="s">
        <v>31</v>
      </c>
      <c r="U65" s="148"/>
    </row>
    <row r="67" spans="1:32" ht="24" x14ac:dyDescent="0.25">
      <c r="B67" s="61" t="s">
        <v>202</v>
      </c>
    </row>
    <row r="68" spans="1:32" ht="24" x14ac:dyDescent="0.25">
      <c r="B68" s="61" t="s">
        <v>203</v>
      </c>
    </row>
    <row r="69" spans="1:32" ht="24" x14ac:dyDescent="0.25">
      <c r="B69" s="61" t="s">
        <v>204</v>
      </c>
    </row>
    <row r="70" spans="1:32" ht="24" x14ac:dyDescent="0.25">
      <c r="B70" s="61" t="s">
        <v>205</v>
      </c>
    </row>
    <row r="72" spans="1:32" s="59" customFormat="1" ht="27.6" customHeight="1" x14ac:dyDescent="0.25">
      <c r="A72" s="509"/>
      <c r="B72" s="509"/>
      <c r="C72" s="512" t="s">
        <v>3985</v>
      </c>
      <c r="D72" s="543" t="s">
        <v>3986</v>
      </c>
      <c r="E72" s="543"/>
      <c r="F72" s="543"/>
      <c r="G72" s="509"/>
      <c r="H72" s="509"/>
      <c r="I72" s="509"/>
      <c r="J72" s="509"/>
      <c r="K72" s="509"/>
      <c r="L72" s="509"/>
      <c r="M72" s="509"/>
      <c r="N72" s="509"/>
      <c r="O72" s="509"/>
      <c r="P72" s="509"/>
      <c r="Q72" s="509"/>
      <c r="R72" s="509"/>
      <c r="S72" s="509"/>
      <c r="T72" s="509"/>
      <c r="U72" s="509"/>
      <c r="V72" s="509"/>
      <c r="W72" s="509"/>
      <c r="X72" s="509"/>
      <c r="Y72" s="509"/>
      <c r="Z72" s="509"/>
      <c r="AA72" s="509"/>
      <c r="AB72" s="509"/>
      <c r="AC72" s="509"/>
      <c r="AD72" s="509"/>
      <c r="AE72" s="510"/>
      <c r="AF72" s="510"/>
    </row>
    <row r="73" spans="1:32" s="59" customFormat="1" x14ac:dyDescent="0.25">
      <c r="A73" s="509"/>
      <c r="B73" s="509"/>
      <c r="C73" s="509"/>
      <c r="D73" s="509"/>
      <c r="E73" s="509"/>
      <c r="F73" s="509"/>
      <c r="G73" s="509"/>
      <c r="H73" s="509"/>
      <c r="I73" s="509"/>
      <c r="J73" s="509"/>
      <c r="K73" s="509"/>
      <c r="L73" s="509"/>
      <c r="M73" s="509"/>
      <c r="N73" s="509"/>
      <c r="O73" s="509"/>
      <c r="P73" s="509"/>
      <c r="Q73" s="509"/>
      <c r="R73" s="509"/>
      <c r="S73" s="509"/>
      <c r="T73" s="509"/>
      <c r="U73" s="509"/>
      <c r="V73" s="509"/>
      <c r="W73" s="509"/>
      <c r="X73" s="509"/>
      <c r="Y73" s="509"/>
      <c r="Z73" s="509"/>
      <c r="AA73" s="509"/>
      <c r="AB73" s="509"/>
      <c r="AC73" s="509"/>
      <c r="AD73" s="509"/>
      <c r="AE73" s="510"/>
      <c r="AF73" s="510"/>
    </row>
    <row r="74" spans="1:32" s="59" customFormat="1" x14ac:dyDescent="0.25">
      <c r="A74" s="509"/>
      <c r="B74" s="509"/>
      <c r="C74" s="509"/>
      <c r="D74" s="509"/>
      <c r="E74" s="509"/>
      <c r="F74" s="509"/>
      <c r="G74" s="509"/>
      <c r="H74" s="509"/>
      <c r="I74" s="509"/>
      <c r="J74" s="509"/>
      <c r="K74" s="509"/>
      <c r="L74" s="509"/>
      <c r="M74" s="509"/>
      <c r="N74" s="509"/>
      <c r="O74" s="509"/>
      <c r="P74" s="509"/>
      <c r="Q74" s="509"/>
      <c r="R74" s="509"/>
      <c r="S74" s="509"/>
      <c r="T74" s="509"/>
      <c r="U74" s="509"/>
      <c r="V74" s="509"/>
      <c r="W74" s="509"/>
      <c r="X74" s="509"/>
      <c r="Y74" s="509"/>
      <c r="Z74" s="509"/>
      <c r="AA74" s="509"/>
      <c r="AB74" s="509"/>
      <c r="AC74" s="509"/>
      <c r="AD74" s="509"/>
      <c r="AE74" s="417"/>
      <c r="AF74" s="510"/>
    </row>
    <row r="75" spans="1:32" s="59" customFormat="1" x14ac:dyDescent="0.25">
      <c r="B75" s="60"/>
      <c r="C75" s="438" t="s">
        <v>3989</v>
      </c>
      <c r="D75" s="544" t="s">
        <v>3990</v>
      </c>
      <c r="E75" s="544"/>
      <c r="F75" s="544"/>
      <c r="G75" s="544"/>
      <c r="H75" s="544"/>
      <c r="I75" s="544"/>
      <c r="T75" s="60"/>
      <c r="U75" s="60"/>
    </row>
    <row r="76" spans="1:32" s="59" customFormat="1" ht="13.95" customHeight="1" x14ac:dyDescent="0.25">
      <c r="B76" s="60"/>
      <c r="C76" s="438" t="s">
        <v>3987</v>
      </c>
      <c r="D76" s="553" t="s">
        <v>3988</v>
      </c>
      <c r="E76" s="553"/>
      <c r="F76" s="553"/>
      <c r="G76" s="553"/>
      <c r="H76" s="553"/>
      <c r="I76" s="553"/>
      <c r="T76" s="60"/>
      <c r="U76" s="60"/>
    </row>
    <row r="77" spans="1:32" s="59" customFormat="1" ht="14.4" customHeight="1" x14ac:dyDescent="0.25">
      <c r="T77" s="60"/>
      <c r="U77" s="60"/>
    </row>
    <row r="78" spans="1:32" s="59" customFormat="1" x14ac:dyDescent="0.25">
      <c r="A78" s="469"/>
      <c r="B78" s="743" t="s">
        <v>3984</v>
      </c>
      <c r="C78" s="743"/>
      <c r="D78" s="743"/>
      <c r="E78" s="743"/>
      <c r="F78" s="743"/>
      <c r="G78" s="743"/>
      <c r="H78" s="743"/>
      <c r="I78" s="743"/>
      <c r="T78" s="304"/>
      <c r="U78" s="304"/>
    </row>
  </sheetData>
  <mergeCells count="199">
    <mergeCell ref="P62:P64"/>
    <mergeCell ref="Q62:Q64"/>
    <mergeCell ref="S62:S64"/>
    <mergeCell ref="T62:T64"/>
    <mergeCell ref="U62:U64"/>
    <mergeCell ref="I62:I64"/>
    <mergeCell ref="J62:J64"/>
    <mergeCell ref="K62:K64"/>
    <mergeCell ref="L62:L64"/>
    <mergeCell ref="M62:M64"/>
    <mergeCell ref="N62:N64"/>
    <mergeCell ref="A62:A64"/>
    <mergeCell ref="B62:B64"/>
    <mergeCell ref="C62:C64"/>
    <mergeCell ref="D62:D64"/>
    <mergeCell ref="E62:E64"/>
    <mergeCell ref="F62:F64"/>
    <mergeCell ref="G62:G64"/>
    <mergeCell ref="H62:H64"/>
    <mergeCell ref="O62:O64"/>
    <mergeCell ref="Q50:Q53"/>
    <mergeCell ref="R50:R51"/>
    <mergeCell ref="S50:S53"/>
    <mergeCell ref="T50:T53"/>
    <mergeCell ref="U50:U53"/>
    <mergeCell ref="A57:A58"/>
    <mergeCell ref="B57:B58"/>
    <mergeCell ref="E57:E58"/>
    <mergeCell ref="R57:R58"/>
    <mergeCell ref="S57:S58"/>
    <mergeCell ref="K50:K53"/>
    <mergeCell ref="L50:L53"/>
    <mergeCell ref="M50:M53"/>
    <mergeCell ref="N50:N53"/>
    <mergeCell ref="O50:O53"/>
    <mergeCell ref="P50:P53"/>
    <mergeCell ref="A50:A53"/>
    <mergeCell ref="B50:B53"/>
    <mergeCell ref="E50:E53"/>
    <mergeCell ref="H50:H53"/>
    <mergeCell ref="I50:I53"/>
    <mergeCell ref="J50:J53"/>
    <mergeCell ref="T57:T58"/>
    <mergeCell ref="U57:U58"/>
    <mergeCell ref="T46:T47"/>
    <mergeCell ref="U46:U47"/>
    <mergeCell ref="A48:A49"/>
    <mergeCell ref="B48:B49"/>
    <mergeCell ref="E48:E49"/>
    <mergeCell ref="S48:S49"/>
    <mergeCell ref="T48:T49"/>
    <mergeCell ref="U48:U49"/>
    <mergeCell ref="A46:A47"/>
    <mergeCell ref="B46:B47"/>
    <mergeCell ref="E46:E47"/>
    <mergeCell ref="F46:F47"/>
    <mergeCell ref="G46:G47"/>
    <mergeCell ref="S46:S47"/>
    <mergeCell ref="A44:A45"/>
    <mergeCell ref="B44:B45"/>
    <mergeCell ref="E44:E45"/>
    <mergeCell ref="S44:S45"/>
    <mergeCell ref="T44:T45"/>
    <mergeCell ref="U44:U45"/>
    <mergeCell ref="U32:U35"/>
    <mergeCell ref="A37:A38"/>
    <mergeCell ref="B37:B38"/>
    <mergeCell ref="E37:E38"/>
    <mergeCell ref="S37:S38"/>
    <mergeCell ref="T37:T38"/>
    <mergeCell ref="U37:U38"/>
    <mergeCell ref="O32:O35"/>
    <mergeCell ref="P32:P35"/>
    <mergeCell ref="Q32:Q35"/>
    <mergeCell ref="R32:R34"/>
    <mergeCell ref="S32:S35"/>
    <mergeCell ref="T32:T35"/>
    <mergeCell ref="I32:I35"/>
    <mergeCell ref="J32:J35"/>
    <mergeCell ref="K32:K35"/>
    <mergeCell ref="L32:L35"/>
    <mergeCell ref="M32:M35"/>
    <mergeCell ref="N32:N35"/>
    <mergeCell ref="Q29:Q31"/>
    <mergeCell ref="S29:S31"/>
    <mergeCell ref="T29:T31"/>
    <mergeCell ref="U29:U31"/>
    <mergeCell ref="A32:A35"/>
    <mergeCell ref="B32:B35"/>
    <mergeCell ref="C32:C35"/>
    <mergeCell ref="D32:D35"/>
    <mergeCell ref="E32:E35"/>
    <mergeCell ref="H32:H35"/>
    <mergeCell ref="K29:K31"/>
    <mergeCell ref="L29:L31"/>
    <mergeCell ref="M29:M31"/>
    <mergeCell ref="N29:N31"/>
    <mergeCell ref="O29:O31"/>
    <mergeCell ref="P29:P31"/>
    <mergeCell ref="T25:T26"/>
    <mergeCell ref="U25:U26"/>
    <mergeCell ref="A29:A31"/>
    <mergeCell ref="B29:B31"/>
    <mergeCell ref="E29:E31"/>
    <mergeCell ref="F29:F31"/>
    <mergeCell ref="G29:G31"/>
    <mergeCell ref="H29:H31"/>
    <mergeCell ref="I29:I31"/>
    <mergeCell ref="J29:J31"/>
    <mergeCell ref="A25:A26"/>
    <mergeCell ref="B25:B26"/>
    <mergeCell ref="E25:E26"/>
    <mergeCell ref="F25:F26"/>
    <mergeCell ref="G25:G26"/>
    <mergeCell ref="S25:S26"/>
    <mergeCell ref="U17:U18"/>
    <mergeCell ref="A20:A22"/>
    <mergeCell ref="B20:B22"/>
    <mergeCell ref="E20:E22"/>
    <mergeCell ref="R20:R22"/>
    <mergeCell ref="S20:S22"/>
    <mergeCell ref="T20:T22"/>
    <mergeCell ref="U20:U22"/>
    <mergeCell ref="A17:A18"/>
    <mergeCell ref="B17:B18"/>
    <mergeCell ref="E17:E18"/>
    <mergeCell ref="R17:R18"/>
    <mergeCell ref="S17:S18"/>
    <mergeCell ref="T17:T18"/>
    <mergeCell ref="A14:A15"/>
    <mergeCell ref="B14:B15"/>
    <mergeCell ref="E14:E15"/>
    <mergeCell ref="S14:S15"/>
    <mergeCell ref="T14:T15"/>
    <mergeCell ref="U14:U15"/>
    <mergeCell ref="O12:O13"/>
    <mergeCell ref="P12:P13"/>
    <mergeCell ref="Q12:Q13"/>
    <mergeCell ref="S12:S13"/>
    <mergeCell ref="T12:T13"/>
    <mergeCell ref="U12:U13"/>
    <mergeCell ref="I12:I13"/>
    <mergeCell ref="J12:J13"/>
    <mergeCell ref="K12:K13"/>
    <mergeCell ref="L12:L13"/>
    <mergeCell ref="M12:M13"/>
    <mergeCell ref="N12:N13"/>
    <mergeCell ref="A12:A13"/>
    <mergeCell ref="B12:B13"/>
    <mergeCell ref="E12:E13"/>
    <mergeCell ref="F12:F13"/>
    <mergeCell ref="G12:G13"/>
    <mergeCell ref="H12:H13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N4:N5"/>
    <mergeCell ref="O4:O5"/>
    <mergeCell ref="P4:P5"/>
    <mergeCell ref="Q4:Q5"/>
    <mergeCell ref="R4:R5"/>
    <mergeCell ref="A7:A8"/>
    <mergeCell ref="B7:B8"/>
    <mergeCell ref="E7:E8"/>
    <mergeCell ref="H7:H8"/>
    <mergeCell ref="I7:I8"/>
    <mergeCell ref="P7:P8"/>
    <mergeCell ref="Q7:Q8"/>
    <mergeCell ref="R7:R8"/>
    <mergeCell ref="D72:F72"/>
    <mergeCell ref="D75:I75"/>
    <mergeCell ref="D76:I76"/>
    <mergeCell ref="B78:I78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0129F-D538-4BA8-AD24-C2FC68619CFB}">
  <dimension ref="A1:AF159"/>
  <sheetViews>
    <sheetView workbookViewId="0">
      <selection activeCell="V4" sqref="V4"/>
    </sheetView>
  </sheetViews>
  <sheetFormatPr defaultRowHeight="14.4" x14ac:dyDescent="0.3"/>
  <cols>
    <col min="1" max="1" width="15.33203125" style="164" bestFit="1" customWidth="1"/>
    <col min="2" max="2" width="33.6640625" bestFit="1" customWidth="1"/>
    <col min="3" max="3" width="10" customWidth="1"/>
    <col min="6" max="6" width="11.109375" bestFit="1" customWidth="1"/>
    <col min="8" max="8" width="10.5546875" customWidth="1"/>
    <col min="9" max="9" width="21" customWidth="1"/>
    <col min="10" max="10" width="11" customWidth="1"/>
    <col min="13" max="13" width="11.6640625" customWidth="1"/>
    <col min="14" max="14" width="12.5546875" customWidth="1"/>
    <col min="15" max="15" width="12.6640625" customWidth="1"/>
    <col min="18" max="18" width="15.44140625" customWidth="1"/>
    <col min="19" max="19" width="13.88671875" customWidth="1"/>
    <col min="20" max="20" width="45.88671875" style="240" customWidth="1"/>
    <col min="21" max="21" width="25.33203125" customWidth="1"/>
  </cols>
  <sheetData>
    <row r="1" spans="1:21" ht="18" thickBot="1" x14ac:dyDescent="0.35">
      <c r="A1" s="895" t="s">
        <v>955</v>
      </c>
      <c r="B1" s="895"/>
      <c r="C1" s="895"/>
      <c r="D1" s="895"/>
      <c r="E1" s="895"/>
      <c r="F1" s="895"/>
      <c r="G1" s="895"/>
      <c r="H1" s="895"/>
      <c r="I1" s="895"/>
      <c r="J1" s="895"/>
      <c r="K1" s="895"/>
      <c r="L1" s="895"/>
      <c r="M1" s="895"/>
      <c r="N1" s="895"/>
      <c r="O1" s="895"/>
      <c r="P1" s="895"/>
      <c r="Q1" s="895"/>
      <c r="R1" s="895"/>
      <c r="S1" s="895"/>
      <c r="T1" s="895"/>
      <c r="U1" s="895"/>
    </row>
    <row r="2" spans="1:21" ht="32.25" customHeight="1" thickBot="1" x14ac:dyDescent="0.35">
      <c r="A2" s="804" t="s">
        <v>1</v>
      </c>
      <c r="B2" s="806" t="s">
        <v>2</v>
      </c>
      <c r="C2" s="808" t="s">
        <v>3</v>
      </c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10"/>
      <c r="R2" s="806" t="s">
        <v>4</v>
      </c>
      <c r="S2" s="806" t="s">
        <v>5</v>
      </c>
      <c r="T2" s="819" t="s">
        <v>207</v>
      </c>
      <c r="U2" s="819" t="s">
        <v>7</v>
      </c>
    </row>
    <row r="3" spans="1:21" ht="24" customHeight="1" thickBot="1" x14ac:dyDescent="0.35">
      <c r="A3" s="805"/>
      <c r="B3" s="807"/>
      <c r="C3" s="821" t="s">
        <v>8</v>
      </c>
      <c r="D3" s="822"/>
      <c r="E3" s="822"/>
      <c r="F3" s="822"/>
      <c r="G3" s="823"/>
      <c r="H3" s="821" t="s">
        <v>9</v>
      </c>
      <c r="I3" s="822"/>
      <c r="J3" s="822"/>
      <c r="K3" s="822"/>
      <c r="L3" s="822"/>
      <c r="M3" s="822"/>
      <c r="N3" s="822"/>
      <c r="O3" s="823"/>
      <c r="P3" s="821" t="s">
        <v>10</v>
      </c>
      <c r="Q3" s="823"/>
      <c r="R3" s="811"/>
      <c r="S3" s="807"/>
      <c r="T3" s="820"/>
      <c r="U3" s="820"/>
    </row>
    <row r="4" spans="1:21" ht="60" customHeight="1" thickBot="1" x14ac:dyDescent="0.35">
      <c r="A4" s="805"/>
      <c r="B4" s="807"/>
      <c r="C4" s="821" t="s">
        <v>11</v>
      </c>
      <c r="D4" s="823"/>
      <c r="E4" s="812" t="s">
        <v>12</v>
      </c>
      <c r="F4" s="812" t="s">
        <v>956</v>
      </c>
      <c r="G4" s="812" t="s">
        <v>14</v>
      </c>
      <c r="H4" s="812" t="s">
        <v>15</v>
      </c>
      <c r="I4" s="821" t="s">
        <v>16</v>
      </c>
      <c r="J4" s="823"/>
      <c r="K4" s="812" t="s">
        <v>17</v>
      </c>
      <c r="L4" s="812" t="s">
        <v>956</v>
      </c>
      <c r="M4" s="812" t="s">
        <v>957</v>
      </c>
      <c r="N4" s="812" t="s">
        <v>19</v>
      </c>
      <c r="O4" s="812" t="s">
        <v>210</v>
      </c>
      <c r="P4" s="812" t="s">
        <v>958</v>
      </c>
      <c r="Q4" s="812" t="s">
        <v>17</v>
      </c>
      <c r="R4" s="812" t="s">
        <v>21</v>
      </c>
      <c r="S4" s="807"/>
      <c r="T4" s="820"/>
      <c r="U4" s="820"/>
    </row>
    <row r="5" spans="1:21" ht="27" thickBot="1" x14ac:dyDescent="0.35">
      <c r="A5" s="805"/>
      <c r="B5" s="807"/>
      <c r="C5" s="167" t="s">
        <v>22</v>
      </c>
      <c r="D5" s="167" t="s">
        <v>23</v>
      </c>
      <c r="E5" s="807"/>
      <c r="F5" s="807"/>
      <c r="G5" s="807"/>
      <c r="H5" s="807"/>
      <c r="I5" s="167" t="s">
        <v>24</v>
      </c>
      <c r="J5" s="167" t="s">
        <v>25</v>
      </c>
      <c r="K5" s="807"/>
      <c r="L5" s="807"/>
      <c r="M5" s="807"/>
      <c r="N5" s="807"/>
      <c r="O5" s="807"/>
      <c r="P5" s="807"/>
      <c r="Q5" s="807"/>
      <c r="R5" s="807"/>
      <c r="S5" s="807"/>
      <c r="T5" s="820"/>
      <c r="U5" s="820"/>
    </row>
    <row r="6" spans="1:21" s="172" customFormat="1" ht="12.6" thickBot="1" x14ac:dyDescent="0.3">
      <c r="A6" s="168">
        <v>1</v>
      </c>
      <c r="B6" s="169">
        <v>2</v>
      </c>
      <c r="C6" s="169">
        <v>3</v>
      </c>
      <c r="D6" s="169">
        <v>4</v>
      </c>
      <c r="E6" s="169">
        <v>5</v>
      </c>
      <c r="F6" s="169">
        <v>6</v>
      </c>
      <c r="G6" s="169">
        <v>7</v>
      </c>
      <c r="H6" s="169">
        <v>8</v>
      </c>
      <c r="I6" s="169">
        <v>9</v>
      </c>
      <c r="J6" s="169">
        <v>10</v>
      </c>
      <c r="K6" s="169">
        <v>11</v>
      </c>
      <c r="L6" s="169">
        <v>12</v>
      </c>
      <c r="M6" s="169">
        <v>13</v>
      </c>
      <c r="N6" s="169">
        <v>14</v>
      </c>
      <c r="O6" s="169">
        <v>15</v>
      </c>
      <c r="P6" s="169">
        <v>16</v>
      </c>
      <c r="Q6" s="169">
        <v>17</v>
      </c>
      <c r="R6" s="169">
        <v>18</v>
      </c>
      <c r="S6" s="169">
        <v>19</v>
      </c>
      <c r="T6" s="170">
        <v>20</v>
      </c>
      <c r="U6" s="171"/>
    </row>
    <row r="7" spans="1:21" ht="24.6" thickBot="1" x14ac:dyDescent="0.35">
      <c r="A7" s="40" t="s">
        <v>959</v>
      </c>
      <c r="B7" s="173" t="s">
        <v>373</v>
      </c>
      <c r="C7" s="174">
        <v>0</v>
      </c>
      <c r="D7" s="174">
        <v>0.32</v>
      </c>
      <c r="E7" s="175">
        <v>0.32</v>
      </c>
      <c r="F7" s="176">
        <v>1280</v>
      </c>
      <c r="G7" s="147" t="s">
        <v>29</v>
      </c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>
        <v>70500050405</v>
      </c>
      <c r="S7" s="147" t="s">
        <v>960</v>
      </c>
      <c r="T7" s="111" t="s">
        <v>31</v>
      </c>
      <c r="U7" s="177"/>
    </row>
    <row r="8" spans="1:21" ht="27" thickBot="1" x14ac:dyDescent="0.35">
      <c r="A8" s="40" t="s">
        <v>961</v>
      </c>
      <c r="B8" s="23" t="s">
        <v>405</v>
      </c>
      <c r="C8" s="178">
        <v>0</v>
      </c>
      <c r="D8" s="178">
        <v>0.43</v>
      </c>
      <c r="E8" s="178">
        <v>0.43</v>
      </c>
      <c r="F8" s="179">
        <v>1720</v>
      </c>
      <c r="G8" s="147" t="s">
        <v>29</v>
      </c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>
        <v>70500050475</v>
      </c>
      <c r="S8" s="147" t="s">
        <v>960</v>
      </c>
      <c r="T8" s="111" t="s">
        <v>31</v>
      </c>
      <c r="U8" s="177"/>
    </row>
    <row r="9" spans="1:21" ht="27" thickBot="1" x14ac:dyDescent="0.35">
      <c r="A9" s="40" t="s">
        <v>962</v>
      </c>
      <c r="B9" s="23" t="s">
        <v>927</v>
      </c>
      <c r="C9" s="178">
        <v>0</v>
      </c>
      <c r="D9" s="178">
        <v>0.54</v>
      </c>
      <c r="E9" s="178">
        <v>0.54</v>
      </c>
      <c r="F9" s="179">
        <v>3240</v>
      </c>
      <c r="G9" s="147" t="s">
        <v>29</v>
      </c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7">
        <v>70500050417</v>
      </c>
      <c r="S9" s="147" t="s">
        <v>960</v>
      </c>
      <c r="T9" s="111" t="s">
        <v>31</v>
      </c>
      <c r="U9" s="177"/>
    </row>
    <row r="10" spans="1:21" ht="27" thickBot="1" x14ac:dyDescent="0.35">
      <c r="A10" s="40" t="s">
        <v>963</v>
      </c>
      <c r="B10" s="23" t="s">
        <v>964</v>
      </c>
      <c r="C10" s="178">
        <v>0</v>
      </c>
      <c r="D10" s="178">
        <v>4.5999999999999999E-2</v>
      </c>
      <c r="E10" s="178">
        <v>4.5999999999999999E-2</v>
      </c>
      <c r="F10" s="179">
        <v>456</v>
      </c>
      <c r="G10" s="147" t="s">
        <v>29</v>
      </c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79">
        <v>70500070157001</v>
      </c>
      <c r="S10" s="147" t="s">
        <v>965</v>
      </c>
      <c r="T10" s="111" t="s">
        <v>31</v>
      </c>
      <c r="U10" s="177"/>
    </row>
    <row r="11" spans="1:21" ht="14.4" customHeight="1" x14ac:dyDescent="0.3">
      <c r="A11" s="643" t="s">
        <v>966</v>
      </c>
      <c r="B11" s="607" t="s">
        <v>967</v>
      </c>
      <c r="C11" s="180" t="s">
        <v>968</v>
      </c>
      <c r="D11" s="180">
        <v>1.1499999999999999</v>
      </c>
      <c r="E11" s="813">
        <v>7.82</v>
      </c>
      <c r="F11" s="816">
        <v>55230</v>
      </c>
      <c r="G11" s="816" t="s">
        <v>32</v>
      </c>
      <c r="H11" s="816" t="s">
        <v>969</v>
      </c>
      <c r="I11" s="816" t="s">
        <v>970</v>
      </c>
      <c r="J11" s="181" t="s">
        <v>971</v>
      </c>
      <c r="K11" s="641" t="s">
        <v>972</v>
      </c>
      <c r="L11" s="641">
        <v>138</v>
      </c>
      <c r="M11" s="641"/>
      <c r="N11" s="816"/>
      <c r="O11" s="816" t="s">
        <v>973</v>
      </c>
      <c r="P11" s="816"/>
      <c r="Q11" s="816"/>
      <c r="R11" s="181">
        <v>70500050440</v>
      </c>
      <c r="S11" s="816"/>
      <c r="T11" s="746" t="s">
        <v>31</v>
      </c>
      <c r="U11" s="182"/>
    </row>
    <row r="12" spans="1:21" x14ac:dyDescent="0.3">
      <c r="A12" s="742"/>
      <c r="B12" s="608"/>
      <c r="C12" s="183">
        <v>1.1499999999999999</v>
      </c>
      <c r="D12" s="183">
        <v>1.86</v>
      </c>
      <c r="E12" s="814"/>
      <c r="F12" s="817"/>
      <c r="G12" s="817"/>
      <c r="H12" s="817"/>
      <c r="I12" s="817"/>
      <c r="J12" s="160" t="s">
        <v>974</v>
      </c>
      <c r="K12" s="633"/>
      <c r="L12" s="633"/>
      <c r="M12" s="633"/>
      <c r="N12" s="817"/>
      <c r="O12" s="817"/>
      <c r="P12" s="817"/>
      <c r="Q12" s="817"/>
      <c r="R12" s="184">
        <v>70500050402</v>
      </c>
      <c r="S12" s="817"/>
      <c r="T12" s="803"/>
      <c r="U12" s="186"/>
    </row>
    <row r="13" spans="1:21" x14ac:dyDescent="0.3">
      <c r="A13" s="742"/>
      <c r="B13" s="608"/>
      <c r="C13" s="183">
        <v>1.86</v>
      </c>
      <c r="D13" s="183">
        <v>1.96</v>
      </c>
      <c r="E13" s="814"/>
      <c r="F13" s="817"/>
      <c r="G13" s="817"/>
      <c r="H13" s="817"/>
      <c r="I13" s="817"/>
      <c r="J13" s="792"/>
      <c r="K13" s="633"/>
      <c r="L13" s="633"/>
      <c r="M13" s="633"/>
      <c r="N13" s="817"/>
      <c r="O13" s="817"/>
      <c r="P13" s="817"/>
      <c r="Q13" s="817"/>
      <c r="R13" s="184" t="s">
        <v>975</v>
      </c>
      <c r="S13" s="817"/>
      <c r="T13" s="803"/>
      <c r="U13" s="186"/>
    </row>
    <row r="14" spans="1:21" x14ac:dyDescent="0.3">
      <c r="A14" s="742"/>
      <c r="B14" s="608"/>
      <c r="C14" s="183">
        <v>1.96</v>
      </c>
      <c r="D14" s="183">
        <v>2.54</v>
      </c>
      <c r="E14" s="814"/>
      <c r="F14" s="817"/>
      <c r="G14" s="817"/>
      <c r="H14" s="817"/>
      <c r="I14" s="817"/>
      <c r="J14" s="792"/>
      <c r="K14" s="633"/>
      <c r="L14" s="633"/>
      <c r="M14" s="633"/>
      <c r="N14" s="817"/>
      <c r="O14" s="817"/>
      <c r="P14" s="817"/>
      <c r="Q14" s="817"/>
      <c r="R14" s="184">
        <v>70500060079</v>
      </c>
      <c r="S14" s="817"/>
      <c r="T14" s="803"/>
      <c r="U14" s="186"/>
    </row>
    <row r="15" spans="1:21" x14ac:dyDescent="0.3">
      <c r="A15" s="742"/>
      <c r="B15" s="608"/>
      <c r="C15" s="183">
        <v>2.54</v>
      </c>
      <c r="D15" s="183">
        <v>6.1</v>
      </c>
      <c r="E15" s="814"/>
      <c r="F15" s="817"/>
      <c r="G15" s="817"/>
      <c r="H15" s="817"/>
      <c r="I15" s="817"/>
      <c r="J15" s="792"/>
      <c r="K15" s="633"/>
      <c r="L15" s="633"/>
      <c r="M15" s="633"/>
      <c r="N15" s="817"/>
      <c r="O15" s="817"/>
      <c r="P15" s="817"/>
      <c r="Q15" s="817"/>
      <c r="R15" s="184">
        <v>70500080092</v>
      </c>
      <c r="S15" s="817"/>
      <c r="T15" s="803"/>
      <c r="U15" s="186"/>
    </row>
    <row r="16" spans="1:21" x14ac:dyDescent="0.3">
      <c r="A16" s="742"/>
      <c r="B16" s="608"/>
      <c r="C16" s="183">
        <v>6.1</v>
      </c>
      <c r="D16" s="183">
        <v>6.44</v>
      </c>
      <c r="E16" s="814"/>
      <c r="F16" s="817"/>
      <c r="G16" s="817"/>
      <c r="H16" s="817"/>
      <c r="I16" s="817"/>
      <c r="J16" s="792"/>
      <c r="K16" s="633"/>
      <c r="L16" s="633"/>
      <c r="M16" s="633"/>
      <c r="N16" s="817"/>
      <c r="O16" s="817"/>
      <c r="P16" s="817"/>
      <c r="Q16" s="817"/>
      <c r="R16" s="184">
        <v>70500080111</v>
      </c>
      <c r="S16" s="817"/>
      <c r="T16" s="803"/>
      <c r="U16" s="186"/>
    </row>
    <row r="17" spans="1:21" ht="15" thickBot="1" x14ac:dyDescent="0.35">
      <c r="A17" s="644"/>
      <c r="B17" s="609"/>
      <c r="C17" s="187">
        <v>6.44</v>
      </c>
      <c r="D17" s="187">
        <v>7.82</v>
      </c>
      <c r="E17" s="815"/>
      <c r="F17" s="818"/>
      <c r="G17" s="818"/>
      <c r="H17" s="818"/>
      <c r="I17" s="818"/>
      <c r="J17" s="783"/>
      <c r="K17" s="634"/>
      <c r="L17" s="634"/>
      <c r="M17" s="634"/>
      <c r="N17" s="818"/>
      <c r="O17" s="818"/>
      <c r="P17" s="818"/>
      <c r="Q17" s="818"/>
      <c r="R17" s="188">
        <v>70500080110</v>
      </c>
      <c r="S17" s="818"/>
      <c r="T17" s="747"/>
      <c r="U17" s="189"/>
    </row>
    <row r="18" spans="1:21" ht="24.6" thickBot="1" x14ac:dyDescent="0.35">
      <c r="A18" s="40" t="s">
        <v>976</v>
      </c>
      <c r="B18" s="23" t="s">
        <v>977</v>
      </c>
      <c r="C18" s="178">
        <v>0</v>
      </c>
      <c r="D18" s="178">
        <v>0.49399999999999999</v>
      </c>
      <c r="E18" s="178">
        <v>0.49399999999999999</v>
      </c>
      <c r="F18" s="147">
        <v>1977</v>
      </c>
      <c r="G18" s="147" t="s">
        <v>978</v>
      </c>
      <c r="H18" s="190"/>
      <c r="I18" s="147"/>
      <c r="J18" s="147"/>
      <c r="K18" s="147"/>
      <c r="L18" s="147"/>
      <c r="M18" s="147"/>
      <c r="N18" s="147"/>
      <c r="O18" s="147"/>
      <c r="P18" s="147"/>
      <c r="Q18" s="147"/>
      <c r="R18" s="147">
        <v>70500050358</v>
      </c>
      <c r="S18" s="147"/>
      <c r="T18" s="111" t="s">
        <v>31</v>
      </c>
      <c r="U18" s="177"/>
    </row>
    <row r="19" spans="1:21" x14ac:dyDescent="0.3">
      <c r="A19" s="825" t="s">
        <v>979</v>
      </c>
      <c r="B19" s="607" t="s">
        <v>980</v>
      </c>
      <c r="C19" s="180">
        <v>0</v>
      </c>
      <c r="D19" s="180">
        <v>0.11600000000000001</v>
      </c>
      <c r="E19" s="830">
        <v>0.49199999999999999</v>
      </c>
      <c r="F19" s="816">
        <v>1970</v>
      </c>
      <c r="G19" s="816" t="s">
        <v>32</v>
      </c>
      <c r="H19" s="833"/>
      <c r="I19" s="816"/>
      <c r="J19" s="816"/>
      <c r="K19" s="816"/>
      <c r="L19" s="816"/>
      <c r="M19" s="816"/>
      <c r="N19" s="816"/>
      <c r="O19" s="816"/>
      <c r="P19" s="816"/>
      <c r="Q19" s="816"/>
      <c r="R19" s="181" t="s">
        <v>981</v>
      </c>
      <c r="S19" s="816"/>
      <c r="T19" s="753" t="s">
        <v>31</v>
      </c>
      <c r="U19" s="182"/>
    </row>
    <row r="20" spans="1:21" x14ac:dyDescent="0.3">
      <c r="A20" s="829"/>
      <c r="B20" s="608"/>
      <c r="C20" s="191">
        <v>0.11600000000000001</v>
      </c>
      <c r="D20" s="183">
        <v>0.182</v>
      </c>
      <c r="E20" s="831"/>
      <c r="F20" s="817"/>
      <c r="G20" s="817"/>
      <c r="H20" s="834"/>
      <c r="I20" s="817"/>
      <c r="J20" s="817"/>
      <c r="K20" s="817"/>
      <c r="L20" s="817"/>
      <c r="M20" s="817"/>
      <c r="N20" s="817"/>
      <c r="O20" s="817"/>
      <c r="P20" s="817"/>
      <c r="Q20" s="817"/>
      <c r="R20" s="184" t="s">
        <v>982</v>
      </c>
      <c r="S20" s="817"/>
      <c r="T20" s="824"/>
      <c r="U20" s="186"/>
    </row>
    <row r="21" spans="1:21" x14ac:dyDescent="0.3">
      <c r="A21" s="829"/>
      <c r="B21" s="608"/>
      <c r="C21" s="183">
        <v>0.182</v>
      </c>
      <c r="D21" s="183">
        <v>0.31900000000000001</v>
      </c>
      <c r="E21" s="831"/>
      <c r="F21" s="817"/>
      <c r="G21" s="817"/>
      <c r="H21" s="834"/>
      <c r="I21" s="817"/>
      <c r="J21" s="817"/>
      <c r="K21" s="817"/>
      <c r="L21" s="817"/>
      <c r="M21" s="817"/>
      <c r="N21" s="817"/>
      <c r="O21" s="817"/>
      <c r="P21" s="817"/>
      <c r="Q21" s="817"/>
      <c r="R21" s="184" t="s">
        <v>983</v>
      </c>
      <c r="S21" s="817"/>
      <c r="T21" s="824"/>
      <c r="U21" s="186"/>
    </row>
    <row r="22" spans="1:21" x14ac:dyDescent="0.3">
      <c r="A22" s="829"/>
      <c r="B22" s="608"/>
      <c r="C22" s="183">
        <v>0.31900000000000001</v>
      </c>
      <c r="D22" s="183">
        <v>0.42199999999999999</v>
      </c>
      <c r="E22" s="831"/>
      <c r="F22" s="817"/>
      <c r="G22" s="817"/>
      <c r="H22" s="834"/>
      <c r="I22" s="817"/>
      <c r="J22" s="817"/>
      <c r="K22" s="817"/>
      <c r="L22" s="817"/>
      <c r="M22" s="817"/>
      <c r="N22" s="817"/>
      <c r="O22" s="817"/>
      <c r="P22" s="817"/>
      <c r="Q22" s="817"/>
      <c r="R22" s="184" t="s">
        <v>984</v>
      </c>
      <c r="S22" s="817"/>
      <c r="T22" s="824"/>
      <c r="U22" s="186"/>
    </row>
    <row r="23" spans="1:21" ht="15" thickBot="1" x14ac:dyDescent="0.35">
      <c r="A23" s="826"/>
      <c r="B23" s="609"/>
      <c r="C23" s="187">
        <v>0.42199999999999999</v>
      </c>
      <c r="D23" s="187">
        <v>0.49199999999999999</v>
      </c>
      <c r="E23" s="832"/>
      <c r="F23" s="818"/>
      <c r="G23" s="818"/>
      <c r="H23" s="835"/>
      <c r="I23" s="818"/>
      <c r="J23" s="818"/>
      <c r="K23" s="818"/>
      <c r="L23" s="818"/>
      <c r="M23" s="818"/>
      <c r="N23" s="818"/>
      <c r="O23" s="818"/>
      <c r="P23" s="818"/>
      <c r="Q23" s="818"/>
      <c r="R23" s="188" t="s">
        <v>985</v>
      </c>
      <c r="S23" s="818"/>
      <c r="T23" s="754"/>
      <c r="U23" s="189"/>
    </row>
    <row r="24" spans="1:21" x14ac:dyDescent="0.3">
      <c r="A24" s="825" t="s">
        <v>986</v>
      </c>
      <c r="B24" s="607" t="s">
        <v>987</v>
      </c>
      <c r="C24" s="195" t="s">
        <v>968</v>
      </c>
      <c r="D24" s="195">
        <v>2.7080000000000002</v>
      </c>
      <c r="E24" s="827">
        <v>3.5649999999999999</v>
      </c>
      <c r="F24" s="787">
        <v>14261</v>
      </c>
      <c r="G24" s="787" t="s">
        <v>32</v>
      </c>
      <c r="H24" s="836"/>
      <c r="I24" s="787"/>
      <c r="J24" s="787"/>
      <c r="K24" s="787"/>
      <c r="L24" s="787"/>
      <c r="M24" s="787"/>
      <c r="N24" s="787"/>
      <c r="O24" s="787"/>
      <c r="P24" s="787"/>
      <c r="Q24" s="787"/>
      <c r="R24" s="153">
        <v>70500050351</v>
      </c>
      <c r="S24" s="787"/>
      <c r="T24" s="746" t="s">
        <v>31</v>
      </c>
      <c r="U24" s="182"/>
    </row>
    <row r="25" spans="1:21" ht="15" thickBot="1" x14ac:dyDescent="0.35">
      <c r="A25" s="826"/>
      <c r="B25" s="609"/>
      <c r="C25" s="197">
        <v>2.7080000000000002</v>
      </c>
      <c r="D25" s="198">
        <v>3.5649999999999999</v>
      </c>
      <c r="E25" s="828"/>
      <c r="F25" s="788"/>
      <c r="G25" s="788"/>
      <c r="H25" s="837"/>
      <c r="I25" s="788"/>
      <c r="J25" s="788"/>
      <c r="K25" s="788"/>
      <c r="L25" s="788"/>
      <c r="M25" s="788"/>
      <c r="N25" s="788"/>
      <c r="O25" s="788"/>
      <c r="P25" s="788"/>
      <c r="Q25" s="788"/>
      <c r="R25" s="142">
        <v>70500030126</v>
      </c>
      <c r="S25" s="788"/>
      <c r="T25" s="747"/>
      <c r="U25" s="189"/>
    </row>
    <row r="26" spans="1:21" ht="15" customHeight="1" x14ac:dyDescent="0.3">
      <c r="A26" s="825" t="s">
        <v>988</v>
      </c>
      <c r="B26" s="607" t="s">
        <v>989</v>
      </c>
      <c r="C26" s="180">
        <v>0</v>
      </c>
      <c r="D26" s="180">
        <v>0.97499999999999998</v>
      </c>
      <c r="E26" s="830">
        <v>1.1499999999999999</v>
      </c>
      <c r="F26" s="816">
        <v>4598</v>
      </c>
      <c r="G26" s="816" t="s">
        <v>978</v>
      </c>
      <c r="H26" s="833"/>
      <c r="I26" s="816"/>
      <c r="J26" s="816"/>
      <c r="K26" s="816"/>
      <c r="L26" s="816"/>
      <c r="M26" s="816"/>
      <c r="N26" s="816"/>
      <c r="O26" s="816"/>
      <c r="P26" s="816"/>
      <c r="Q26" s="816"/>
      <c r="R26" s="181">
        <v>70500040136</v>
      </c>
      <c r="S26" s="816"/>
      <c r="T26" s="753" t="s">
        <v>31</v>
      </c>
      <c r="U26" s="182"/>
    </row>
    <row r="27" spans="1:21" ht="15" thickBot="1" x14ac:dyDescent="0.35">
      <c r="A27" s="826"/>
      <c r="B27" s="609"/>
      <c r="C27" s="193">
        <v>0.97499999999999998</v>
      </c>
      <c r="D27" s="187">
        <v>1.1499999999999999</v>
      </c>
      <c r="E27" s="832"/>
      <c r="F27" s="818"/>
      <c r="G27" s="818"/>
      <c r="H27" s="835"/>
      <c r="I27" s="818"/>
      <c r="J27" s="818"/>
      <c r="K27" s="818"/>
      <c r="L27" s="818"/>
      <c r="M27" s="818"/>
      <c r="N27" s="818"/>
      <c r="O27" s="818"/>
      <c r="P27" s="818"/>
      <c r="Q27" s="818"/>
      <c r="R27" s="188" t="s">
        <v>990</v>
      </c>
      <c r="S27" s="818"/>
      <c r="T27" s="754"/>
      <c r="U27" s="189"/>
    </row>
    <row r="28" spans="1:21" ht="24.75" customHeight="1" thickBot="1" x14ac:dyDescent="0.35">
      <c r="A28" s="40" t="s">
        <v>991</v>
      </c>
      <c r="B28" s="23" t="s">
        <v>992</v>
      </c>
      <c r="C28" s="200">
        <v>0</v>
      </c>
      <c r="D28" s="200">
        <v>1.097</v>
      </c>
      <c r="E28" s="200">
        <v>1.097</v>
      </c>
      <c r="F28" s="169">
        <v>4388</v>
      </c>
      <c r="G28" s="169" t="s">
        <v>978</v>
      </c>
      <c r="H28" s="201"/>
      <c r="I28" s="169"/>
      <c r="J28" s="169"/>
      <c r="K28" s="169"/>
      <c r="L28" s="169"/>
      <c r="M28" s="169"/>
      <c r="N28" s="169"/>
      <c r="O28" s="169"/>
      <c r="P28" s="169"/>
      <c r="Q28" s="169"/>
      <c r="R28" s="169">
        <v>70500040135</v>
      </c>
      <c r="S28" s="169"/>
      <c r="T28" s="111" t="s">
        <v>31</v>
      </c>
      <c r="U28" s="177"/>
    </row>
    <row r="29" spans="1:21" ht="24.6" thickBot="1" x14ac:dyDescent="0.35">
      <c r="A29" s="202" t="s">
        <v>993</v>
      </c>
      <c r="B29" s="23" t="s">
        <v>994</v>
      </c>
      <c r="C29" s="200">
        <v>0</v>
      </c>
      <c r="D29" s="200">
        <v>2.1</v>
      </c>
      <c r="E29" s="200">
        <v>2.1</v>
      </c>
      <c r="F29" s="169">
        <v>10500</v>
      </c>
      <c r="G29" s="169" t="s">
        <v>32</v>
      </c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>
        <v>70500050356</v>
      </c>
      <c r="S29" s="169"/>
      <c r="T29" s="203" t="s">
        <v>31</v>
      </c>
      <c r="U29" s="177"/>
    </row>
    <row r="30" spans="1:21" x14ac:dyDescent="0.3">
      <c r="A30" s="838" t="s">
        <v>995</v>
      </c>
      <c r="B30" s="607" t="s">
        <v>996</v>
      </c>
      <c r="C30" s="830">
        <v>0</v>
      </c>
      <c r="D30" s="830">
        <v>3.32</v>
      </c>
      <c r="E30" s="813">
        <v>3.32</v>
      </c>
      <c r="F30" s="816">
        <v>19920</v>
      </c>
      <c r="G30" s="816" t="s">
        <v>32</v>
      </c>
      <c r="H30" s="816" t="s">
        <v>997</v>
      </c>
      <c r="I30" s="816" t="s">
        <v>998</v>
      </c>
      <c r="J30" s="33" t="s">
        <v>999</v>
      </c>
      <c r="K30" s="641" t="s">
        <v>972</v>
      </c>
      <c r="L30" s="641">
        <v>3.31</v>
      </c>
      <c r="M30" s="641"/>
      <c r="N30" s="641"/>
      <c r="O30" s="641"/>
      <c r="P30" s="641"/>
      <c r="Q30" s="641"/>
      <c r="R30" s="204">
        <v>70500050403</v>
      </c>
      <c r="S30" s="816"/>
      <c r="T30" s="746" t="s">
        <v>31</v>
      </c>
      <c r="U30" s="182"/>
    </row>
    <row r="31" spans="1:21" x14ac:dyDescent="0.3">
      <c r="A31" s="839"/>
      <c r="B31" s="608"/>
      <c r="C31" s="831"/>
      <c r="D31" s="831"/>
      <c r="E31" s="814"/>
      <c r="F31" s="817"/>
      <c r="G31" s="817"/>
      <c r="H31" s="817"/>
      <c r="I31" s="817"/>
      <c r="J31" s="14" t="s">
        <v>1000</v>
      </c>
      <c r="K31" s="633"/>
      <c r="L31" s="633"/>
      <c r="M31" s="633"/>
      <c r="N31" s="633"/>
      <c r="O31" s="633"/>
      <c r="P31" s="633"/>
      <c r="Q31" s="633"/>
      <c r="R31" s="205">
        <v>70500030127</v>
      </c>
      <c r="S31" s="817"/>
      <c r="T31" s="803"/>
      <c r="U31" s="186"/>
    </row>
    <row r="32" spans="1:21" x14ac:dyDescent="0.3">
      <c r="A32" s="840"/>
      <c r="B32" s="764"/>
      <c r="C32" s="831"/>
      <c r="D32" s="831"/>
      <c r="E32" s="842"/>
      <c r="F32" s="856"/>
      <c r="G32" s="856"/>
      <c r="H32" s="856"/>
      <c r="I32" s="856"/>
      <c r="J32" s="93"/>
      <c r="K32" s="731"/>
      <c r="L32" s="731"/>
      <c r="M32" s="731"/>
      <c r="N32" s="731"/>
      <c r="O32" s="731"/>
      <c r="P32" s="731"/>
      <c r="Q32" s="731"/>
      <c r="R32" s="207" t="s">
        <v>975</v>
      </c>
      <c r="S32" s="856"/>
      <c r="T32" s="846"/>
      <c r="U32" s="186"/>
    </row>
    <row r="33" spans="1:21" ht="15" thickBot="1" x14ac:dyDescent="0.35">
      <c r="A33" s="841"/>
      <c r="B33" s="609"/>
      <c r="C33" s="832"/>
      <c r="D33" s="832"/>
      <c r="E33" s="815"/>
      <c r="F33" s="818"/>
      <c r="G33" s="818"/>
      <c r="H33" s="818"/>
      <c r="I33" s="818"/>
      <c r="J33" s="20"/>
      <c r="K33" s="634"/>
      <c r="L33" s="634"/>
      <c r="M33" s="634"/>
      <c r="N33" s="634"/>
      <c r="O33" s="634"/>
      <c r="P33" s="634"/>
      <c r="Q33" s="634"/>
      <c r="R33" s="209">
        <v>70500060080</v>
      </c>
      <c r="S33" s="818"/>
      <c r="T33" s="747"/>
      <c r="U33" s="189"/>
    </row>
    <row r="34" spans="1:21" s="164" customFormat="1" ht="14.4" customHeight="1" x14ac:dyDescent="0.3">
      <c r="A34" s="847" t="s">
        <v>1001</v>
      </c>
      <c r="B34" s="651" t="s">
        <v>1002</v>
      </c>
      <c r="C34" s="195">
        <v>0</v>
      </c>
      <c r="D34" s="195">
        <v>2.0499999999999998</v>
      </c>
      <c r="E34" s="850">
        <v>8.2360000000000007</v>
      </c>
      <c r="F34" s="853">
        <v>32942</v>
      </c>
      <c r="G34" s="853" t="s">
        <v>32</v>
      </c>
      <c r="H34" s="196"/>
      <c r="I34" s="153"/>
      <c r="J34" s="153"/>
      <c r="K34" s="153"/>
      <c r="L34" s="153"/>
      <c r="M34" s="153"/>
      <c r="N34" s="153"/>
      <c r="O34" s="153"/>
      <c r="P34" s="153"/>
      <c r="Q34" s="153"/>
      <c r="R34" s="153">
        <v>70500060089</v>
      </c>
      <c r="S34" s="153"/>
      <c r="T34" s="753" t="s">
        <v>31</v>
      </c>
      <c r="U34" s="211"/>
    </row>
    <row r="35" spans="1:21" s="164" customFormat="1" x14ac:dyDescent="0.3">
      <c r="A35" s="848"/>
      <c r="B35" s="711"/>
      <c r="C35" s="212">
        <v>2.0499999999999998</v>
      </c>
      <c r="D35" s="213">
        <v>3.109</v>
      </c>
      <c r="E35" s="851"/>
      <c r="F35" s="854"/>
      <c r="G35" s="854"/>
      <c r="H35" s="214"/>
      <c r="I35" s="161"/>
      <c r="J35" s="161"/>
      <c r="K35" s="161"/>
      <c r="L35" s="161"/>
      <c r="M35" s="161"/>
      <c r="N35" s="161"/>
      <c r="O35" s="161"/>
      <c r="P35" s="161"/>
      <c r="Q35" s="161"/>
      <c r="R35" s="161" t="s">
        <v>1003</v>
      </c>
      <c r="S35" s="161"/>
      <c r="T35" s="824"/>
      <c r="U35" s="215"/>
    </row>
    <row r="36" spans="1:21" s="164" customFormat="1" x14ac:dyDescent="0.3">
      <c r="A36" s="848"/>
      <c r="B36" s="711"/>
      <c r="C36" s="216">
        <v>3.109</v>
      </c>
      <c r="D36" s="213">
        <v>4.0380000000000003</v>
      </c>
      <c r="E36" s="851"/>
      <c r="F36" s="854"/>
      <c r="G36" s="854"/>
      <c r="H36" s="214"/>
      <c r="I36" s="161"/>
      <c r="J36" s="161"/>
      <c r="K36" s="161"/>
      <c r="L36" s="161"/>
      <c r="M36" s="161"/>
      <c r="N36" s="161"/>
      <c r="O36" s="161"/>
      <c r="P36" s="161"/>
      <c r="Q36" s="161"/>
      <c r="R36" s="160">
        <v>70500060111</v>
      </c>
      <c r="S36" s="161"/>
      <c r="T36" s="824"/>
      <c r="U36" s="215"/>
    </row>
    <row r="37" spans="1:21" s="164" customFormat="1" x14ac:dyDescent="0.3">
      <c r="A37" s="848"/>
      <c r="B37" s="711"/>
      <c r="C37" s="216">
        <v>4.0380000000000003</v>
      </c>
      <c r="D37" s="213">
        <v>4.234</v>
      </c>
      <c r="E37" s="851"/>
      <c r="F37" s="854"/>
      <c r="G37" s="854"/>
      <c r="H37" s="214"/>
      <c r="I37" s="161"/>
      <c r="J37" s="161"/>
      <c r="K37" s="161"/>
      <c r="L37" s="161"/>
      <c r="M37" s="161"/>
      <c r="N37" s="161"/>
      <c r="O37" s="161"/>
      <c r="P37" s="161"/>
      <c r="Q37" s="161"/>
      <c r="R37" s="160" t="s">
        <v>1004</v>
      </c>
      <c r="S37" s="161"/>
      <c r="T37" s="824"/>
      <c r="U37" s="215"/>
    </row>
    <row r="38" spans="1:21" s="164" customFormat="1" x14ac:dyDescent="0.3">
      <c r="A38" s="848"/>
      <c r="B38" s="711"/>
      <c r="C38" s="216">
        <v>4.234</v>
      </c>
      <c r="D38" s="213">
        <v>4.5590000000000002</v>
      </c>
      <c r="E38" s="851"/>
      <c r="F38" s="854"/>
      <c r="G38" s="854"/>
      <c r="H38" s="214"/>
      <c r="I38" s="161"/>
      <c r="J38" s="161"/>
      <c r="K38" s="161"/>
      <c r="L38" s="161"/>
      <c r="M38" s="161"/>
      <c r="N38" s="161"/>
      <c r="O38" s="161"/>
      <c r="P38" s="161"/>
      <c r="Q38" s="161"/>
      <c r="R38" s="160" t="s">
        <v>1005</v>
      </c>
      <c r="S38" s="161"/>
      <c r="T38" s="824"/>
      <c r="U38" s="215"/>
    </row>
    <row r="39" spans="1:21" s="164" customFormat="1" x14ac:dyDescent="0.3">
      <c r="A39" s="848"/>
      <c r="B39" s="711"/>
      <c r="C39" s="216">
        <v>4.5590000000000002</v>
      </c>
      <c r="D39" s="213">
        <v>5.0739999999999998</v>
      </c>
      <c r="E39" s="851"/>
      <c r="F39" s="854"/>
      <c r="G39" s="854"/>
      <c r="H39" s="214"/>
      <c r="I39" s="161"/>
      <c r="J39" s="161"/>
      <c r="K39" s="161"/>
      <c r="L39" s="161"/>
      <c r="M39" s="161"/>
      <c r="N39" s="161"/>
      <c r="O39" s="161"/>
      <c r="P39" s="161"/>
      <c r="Q39" s="161"/>
      <c r="R39" s="160" t="s">
        <v>1006</v>
      </c>
      <c r="S39" s="161"/>
      <c r="T39" s="824"/>
      <c r="U39" s="215"/>
    </row>
    <row r="40" spans="1:21" s="164" customFormat="1" x14ac:dyDescent="0.3">
      <c r="A40" s="848"/>
      <c r="B40" s="711"/>
      <c r="C40" s="216">
        <v>5.0739999999999998</v>
      </c>
      <c r="D40" s="213">
        <v>5.1929999999999996</v>
      </c>
      <c r="E40" s="851"/>
      <c r="F40" s="854"/>
      <c r="G40" s="854"/>
      <c r="H40" s="214"/>
      <c r="I40" s="161"/>
      <c r="J40" s="161"/>
      <c r="K40" s="161"/>
      <c r="L40" s="161"/>
      <c r="M40" s="161"/>
      <c r="N40" s="161"/>
      <c r="O40" s="161"/>
      <c r="P40" s="161"/>
      <c r="Q40" s="161"/>
      <c r="R40" s="160" t="s">
        <v>975</v>
      </c>
      <c r="S40" s="161"/>
      <c r="T40" s="824"/>
      <c r="U40" s="215"/>
    </row>
    <row r="41" spans="1:21" s="164" customFormat="1" ht="15" thickBot="1" x14ac:dyDescent="0.35">
      <c r="A41" s="849"/>
      <c r="B41" s="652"/>
      <c r="C41" s="217">
        <v>5.1929999999999996</v>
      </c>
      <c r="D41" s="198">
        <v>8.2360000000000007</v>
      </c>
      <c r="E41" s="852"/>
      <c r="F41" s="855"/>
      <c r="G41" s="855"/>
      <c r="H41" s="199"/>
      <c r="I41" s="142"/>
      <c r="J41" s="142"/>
      <c r="K41" s="142"/>
      <c r="L41" s="142"/>
      <c r="M41" s="142"/>
      <c r="N41" s="142"/>
      <c r="O41" s="142"/>
      <c r="P41" s="142"/>
      <c r="Q41" s="142"/>
      <c r="R41" s="143">
        <v>70500030125</v>
      </c>
      <c r="S41" s="142"/>
      <c r="T41" s="754"/>
      <c r="U41" s="218"/>
    </row>
    <row r="42" spans="1:21" x14ac:dyDescent="0.3">
      <c r="A42" s="688" t="s">
        <v>1007</v>
      </c>
      <c r="B42" s="607" t="s">
        <v>1008</v>
      </c>
      <c r="C42" s="830" t="s">
        <v>968</v>
      </c>
      <c r="D42" s="830">
        <v>4.54</v>
      </c>
      <c r="E42" s="843">
        <v>4.54</v>
      </c>
      <c r="F42" s="816">
        <f>E42*4500</f>
        <v>20430</v>
      </c>
      <c r="G42" s="816" t="s">
        <v>32</v>
      </c>
      <c r="H42" s="833"/>
      <c r="I42" s="816"/>
      <c r="J42" s="816"/>
      <c r="K42" s="816"/>
      <c r="L42" s="816"/>
      <c r="M42" s="816"/>
      <c r="N42" s="816"/>
      <c r="O42" s="816"/>
      <c r="P42" s="816"/>
      <c r="Q42" s="816"/>
      <c r="R42" s="181">
        <v>70500020134</v>
      </c>
      <c r="S42" s="816"/>
      <c r="T42" s="857" t="s">
        <v>31</v>
      </c>
      <c r="U42" s="879" t="s">
        <v>241</v>
      </c>
    </row>
    <row r="43" spans="1:21" ht="24" x14ac:dyDescent="0.3">
      <c r="A43" s="690"/>
      <c r="B43" s="608"/>
      <c r="C43" s="831"/>
      <c r="D43" s="831"/>
      <c r="E43" s="844"/>
      <c r="F43" s="817"/>
      <c r="G43" s="817"/>
      <c r="H43" s="834"/>
      <c r="I43" s="817"/>
      <c r="J43" s="817"/>
      <c r="K43" s="817"/>
      <c r="L43" s="817"/>
      <c r="M43" s="817"/>
      <c r="N43" s="817"/>
      <c r="O43" s="817"/>
      <c r="P43" s="817"/>
      <c r="Q43" s="817"/>
      <c r="R43" s="184" t="s">
        <v>1009</v>
      </c>
      <c r="S43" s="817"/>
      <c r="T43" s="858"/>
      <c r="U43" s="880"/>
    </row>
    <row r="44" spans="1:21" x14ac:dyDescent="0.3">
      <c r="A44" s="690"/>
      <c r="B44" s="608"/>
      <c r="C44" s="831"/>
      <c r="D44" s="831"/>
      <c r="E44" s="844"/>
      <c r="F44" s="817"/>
      <c r="G44" s="817"/>
      <c r="H44" s="834"/>
      <c r="I44" s="817"/>
      <c r="J44" s="817"/>
      <c r="K44" s="817"/>
      <c r="L44" s="817"/>
      <c r="M44" s="817"/>
      <c r="N44" s="817"/>
      <c r="O44" s="817"/>
      <c r="P44" s="817"/>
      <c r="Q44" s="817"/>
      <c r="R44" s="184">
        <v>70500020133</v>
      </c>
      <c r="S44" s="817"/>
      <c r="T44" s="858"/>
      <c r="U44" s="880"/>
    </row>
    <row r="45" spans="1:21" ht="24" x14ac:dyDescent="0.3">
      <c r="A45" s="690"/>
      <c r="B45" s="608"/>
      <c r="C45" s="831"/>
      <c r="D45" s="831"/>
      <c r="E45" s="844"/>
      <c r="F45" s="817"/>
      <c r="G45" s="817"/>
      <c r="H45" s="834"/>
      <c r="I45" s="817"/>
      <c r="J45" s="817"/>
      <c r="K45" s="817"/>
      <c r="L45" s="817"/>
      <c r="M45" s="817"/>
      <c r="N45" s="817"/>
      <c r="O45" s="817"/>
      <c r="P45" s="817"/>
      <c r="Q45" s="817"/>
      <c r="R45" s="184" t="s">
        <v>1010</v>
      </c>
      <c r="S45" s="817"/>
      <c r="T45" s="858"/>
      <c r="U45" s="880"/>
    </row>
    <row r="46" spans="1:21" ht="24" x14ac:dyDescent="0.3">
      <c r="A46" s="690"/>
      <c r="B46" s="608"/>
      <c r="C46" s="831"/>
      <c r="D46" s="831"/>
      <c r="E46" s="844"/>
      <c r="F46" s="817"/>
      <c r="G46" s="817"/>
      <c r="H46" s="834"/>
      <c r="I46" s="817"/>
      <c r="J46" s="817"/>
      <c r="K46" s="817"/>
      <c r="L46" s="817"/>
      <c r="M46" s="817"/>
      <c r="N46" s="817"/>
      <c r="O46" s="817"/>
      <c r="P46" s="817"/>
      <c r="Q46" s="817"/>
      <c r="R46" s="184" t="s">
        <v>1011</v>
      </c>
      <c r="S46" s="817"/>
      <c r="T46" s="858"/>
      <c r="U46" s="880"/>
    </row>
    <row r="47" spans="1:21" x14ac:dyDescent="0.3">
      <c r="A47" s="690"/>
      <c r="B47" s="608"/>
      <c r="C47" s="831"/>
      <c r="D47" s="831"/>
      <c r="E47" s="844"/>
      <c r="F47" s="817"/>
      <c r="G47" s="817"/>
      <c r="H47" s="834"/>
      <c r="I47" s="817"/>
      <c r="J47" s="817"/>
      <c r="K47" s="817"/>
      <c r="L47" s="817"/>
      <c r="M47" s="817"/>
      <c r="N47" s="817"/>
      <c r="O47" s="817"/>
      <c r="P47" s="817"/>
      <c r="Q47" s="817"/>
      <c r="R47" s="184">
        <v>70500020132</v>
      </c>
      <c r="S47" s="817"/>
      <c r="T47" s="858"/>
      <c r="U47" s="880"/>
    </row>
    <row r="48" spans="1:21" ht="24" x14ac:dyDescent="0.3">
      <c r="A48" s="690"/>
      <c r="B48" s="608"/>
      <c r="C48" s="831"/>
      <c r="D48" s="831"/>
      <c r="E48" s="844"/>
      <c r="F48" s="817"/>
      <c r="G48" s="817"/>
      <c r="H48" s="834"/>
      <c r="I48" s="817"/>
      <c r="J48" s="817"/>
      <c r="K48" s="817"/>
      <c r="L48" s="817"/>
      <c r="M48" s="817"/>
      <c r="N48" s="817"/>
      <c r="O48" s="817"/>
      <c r="P48" s="817"/>
      <c r="Q48" s="817"/>
      <c r="R48" s="184" t="s">
        <v>1012</v>
      </c>
      <c r="S48" s="817"/>
      <c r="T48" s="858"/>
      <c r="U48" s="880"/>
    </row>
    <row r="49" spans="1:21" ht="24" x14ac:dyDescent="0.3">
      <c r="A49" s="690"/>
      <c r="B49" s="608"/>
      <c r="C49" s="831"/>
      <c r="D49" s="831"/>
      <c r="E49" s="844"/>
      <c r="F49" s="817"/>
      <c r="G49" s="817"/>
      <c r="H49" s="834"/>
      <c r="I49" s="817"/>
      <c r="J49" s="817"/>
      <c r="K49" s="817"/>
      <c r="L49" s="817"/>
      <c r="M49" s="817"/>
      <c r="N49" s="817"/>
      <c r="O49" s="817"/>
      <c r="P49" s="817"/>
      <c r="Q49" s="817"/>
      <c r="R49" s="184" t="s">
        <v>1013</v>
      </c>
      <c r="S49" s="817"/>
      <c r="T49" s="858"/>
      <c r="U49" s="880"/>
    </row>
    <row r="50" spans="1:21" x14ac:dyDescent="0.3">
      <c r="A50" s="690"/>
      <c r="B50" s="608"/>
      <c r="C50" s="831"/>
      <c r="D50" s="831"/>
      <c r="E50" s="844"/>
      <c r="F50" s="817"/>
      <c r="G50" s="817"/>
      <c r="H50" s="834"/>
      <c r="I50" s="817"/>
      <c r="J50" s="817"/>
      <c r="K50" s="817"/>
      <c r="L50" s="817"/>
      <c r="M50" s="817"/>
      <c r="N50" s="817"/>
      <c r="O50" s="817"/>
      <c r="P50" s="817"/>
      <c r="Q50" s="817"/>
      <c r="R50" s="184">
        <v>70500020106</v>
      </c>
      <c r="S50" s="817"/>
      <c r="T50" s="858"/>
      <c r="U50" s="880"/>
    </row>
    <row r="51" spans="1:21" x14ac:dyDescent="0.3">
      <c r="A51" s="690"/>
      <c r="B51" s="608"/>
      <c r="C51" s="831"/>
      <c r="D51" s="831"/>
      <c r="E51" s="844"/>
      <c r="F51" s="817"/>
      <c r="G51" s="817"/>
      <c r="H51" s="834"/>
      <c r="I51" s="817"/>
      <c r="J51" s="817"/>
      <c r="K51" s="817"/>
      <c r="L51" s="817"/>
      <c r="M51" s="817"/>
      <c r="N51" s="817"/>
      <c r="O51" s="817"/>
      <c r="P51" s="817"/>
      <c r="Q51" s="817"/>
      <c r="R51" s="184">
        <v>70500020125</v>
      </c>
      <c r="S51" s="817"/>
      <c r="T51" s="858"/>
      <c r="U51" s="880"/>
    </row>
    <row r="52" spans="1:21" x14ac:dyDescent="0.3">
      <c r="A52" s="690"/>
      <c r="B52" s="608"/>
      <c r="C52" s="831"/>
      <c r="D52" s="831"/>
      <c r="E52" s="844"/>
      <c r="F52" s="817"/>
      <c r="G52" s="817"/>
      <c r="H52" s="834"/>
      <c r="I52" s="817"/>
      <c r="J52" s="817"/>
      <c r="K52" s="817"/>
      <c r="L52" s="817"/>
      <c r="M52" s="817"/>
      <c r="N52" s="817"/>
      <c r="O52" s="817"/>
      <c r="P52" s="817"/>
      <c r="Q52" s="817"/>
      <c r="R52" s="184" t="s">
        <v>1014</v>
      </c>
      <c r="S52" s="817"/>
      <c r="T52" s="858"/>
      <c r="U52" s="880"/>
    </row>
    <row r="53" spans="1:21" ht="15" thickBot="1" x14ac:dyDescent="0.35">
      <c r="A53" s="689"/>
      <c r="B53" s="609"/>
      <c r="C53" s="832"/>
      <c r="D53" s="832"/>
      <c r="E53" s="845"/>
      <c r="F53" s="818"/>
      <c r="G53" s="818"/>
      <c r="H53" s="835"/>
      <c r="I53" s="818"/>
      <c r="J53" s="818"/>
      <c r="K53" s="818"/>
      <c r="L53" s="818"/>
      <c r="M53" s="818"/>
      <c r="N53" s="818"/>
      <c r="O53" s="818"/>
      <c r="P53" s="818"/>
      <c r="Q53" s="818"/>
      <c r="R53" s="188">
        <v>70500020143</v>
      </c>
      <c r="S53" s="818"/>
      <c r="T53" s="859"/>
      <c r="U53" s="882"/>
    </row>
    <row r="54" spans="1:21" ht="24.6" thickBot="1" x14ac:dyDescent="0.35">
      <c r="A54" s="69" t="s">
        <v>1015</v>
      </c>
      <c r="B54" s="23" t="s">
        <v>1016</v>
      </c>
      <c r="C54" s="200">
        <v>0</v>
      </c>
      <c r="D54" s="200">
        <v>1.1910000000000001</v>
      </c>
      <c r="E54" s="200">
        <v>1.1910000000000001</v>
      </c>
      <c r="F54" s="169">
        <v>4764</v>
      </c>
      <c r="G54" s="169" t="s">
        <v>32</v>
      </c>
      <c r="H54" s="219"/>
      <c r="I54" s="169"/>
      <c r="J54" s="169"/>
      <c r="K54" s="169"/>
      <c r="L54" s="169"/>
      <c r="M54" s="169"/>
      <c r="N54" s="169"/>
      <c r="O54" s="169"/>
      <c r="P54" s="169"/>
      <c r="Q54" s="169"/>
      <c r="R54" s="169">
        <v>70500040170</v>
      </c>
      <c r="S54" s="169"/>
      <c r="T54" s="111" t="s">
        <v>31</v>
      </c>
      <c r="U54" s="177"/>
    </row>
    <row r="55" spans="1:21" ht="24" x14ac:dyDescent="0.3">
      <c r="A55" s="838" t="s">
        <v>1017</v>
      </c>
      <c r="B55" s="607" t="s">
        <v>1018</v>
      </c>
      <c r="C55" s="180">
        <v>0</v>
      </c>
      <c r="D55" s="180">
        <v>0.11</v>
      </c>
      <c r="E55" s="830">
        <v>1.03</v>
      </c>
      <c r="F55" s="816">
        <v>6000</v>
      </c>
      <c r="G55" s="816" t="s">
        <v>32</v>
      </c>
      <c r="H55" s="816"/>
      <c r="I55" s="816"/>
      <c r="J55" s="816"/>
      <c r="K55" s="816"/>
      <c r="L55" s="816"/>
      <c r="M55" s="816"/>
      <c r="N55" s="816"/>
      <c r="O55" s="816"/>
      <c r="P55" s="816"/>
      <c r="Q55" s="816"/>
      <c r="R55" s="181" t="s">
        <v>1019</v>
      </c>
      <c r="S55" s="816"/>
      <c r="T55" s="753" t="s">
        <v>31</v>
      </c>
      <c r="U55" s="182"/>
    </row>
    <row r="56" spans="1:21" ht="24" x14ac:dyDescent="0.3">
      <c r="A56" s="839"/>
      <c r="B56" s="608"/>
      <c r="C56" s="183">
        <v>0.11</v>
      </c>
      <c r="D56" s="183">
        <v>0.2</v>
      </c>
      <c r="E56" s="831"/>
      <c r="F56" s="817"/>
      <c r="G56" s="817"/>
      <c r="H56" s="817"/>
      <c r="I56" s="817"/>
      <c r="J56" s="817"/>
      <c r="K56" s="817"/>
      <c r="L56" s="817"/>
      <c r="M56" s="817"/>
      <c r="N56" s="817"/>
      <c r="O56" s="817"/>
      <c r="P56" s="817"/>
      <c r="Q56" s="817"/>
      <c r="R56" s="184" t="s">
        <v>1020</v>
      </c>
      <c r="S56" s="817"/>
      <c r="T56" s="824"/>
      <c r="U56" s="186"/>
    </row>
    <row r="57" spans="1:21" x14ac:dyDescent="0.3">
      <c r="A57" s="839"/>
      <c r="B57" s="608"/>
      <c r="C57" s="183">
        <v>0.2</v>
      </c>
      <c r="D57" s="183">
        <v>0.56000000000000005</v>
      </c>
      <c r="E57" s="831"/>
      <c r="F57" s="817"/>
      <c r="G57" s="817"/>
      <c r="H57" s="817"/>
      <c r="I57" s="817"/>
      <c r="J57" s="817"/>
      <c r="K57" s="817"/>
      <c r="L57" s="817"/>
      <c r="M57" s="817"/>
      <c r="N57" s="817"/>
      <c r="O57" s="817"/>
      <c r="P57" s="817"/>
      <c r="Q57" s="817"/>
      <c r="R57" s="184">
        <v>70500050355</v>
      </c>
      <c r="S57" s="817"/>
      <c r="T57" s="824"/>
      <c r="U57" s="186"/>
    </row>
    <row r="58" spans="1:21" ht="24" x14ac:dyDescent="0.3">
      <c r="A58" s="839"/>
      <c r="B58" s="608"/>
      <c r="C58" s="183">
        <v>0.56000000000000005</v>
      </c>
      <c r="D58" s="183">
        <v>0.69</v>
      </c>
      <c r="E58" s="831"/>
      <c r="F58" s="817"/>
      <c r="G58" s="817"/>
      <c r="H58" s="817"/>
      <c r="I58" s="817"/>
      <c r="J58" s="817"/>
      <c r="K58" s="817"/>
      <c r="L58" s="817"/>
      <c r="M58" s="817"/>
      <c r="N58" s="817"/>
      <c r="O58" s="817"/>
      <c r="P58" s="817"/>
      <c r="Q58" s="817"/>
      <c r="R58" s="184" t="s">
        <v>1021</v>
      </c>
      <c r="S58" s="817"/>
      <c r="T58" s="824"/>
      <c r="U58" s="186"/>
    </row>
    <row r="59" spans="1:21" ht="24" x14ac:dyDescent="0.3">
      <c r="A59" s="839"/>
      <c r="B59" s="608"/>
      <c r="C59" s="183">
        <v>0.69</v>
      </c>
      <c r="D59" s="183">
        <v>0.88</v>
      </c>
      <c r="E59" s="831"/>
      <c r="F59" s="817"/>
      <c r="G59" s="817"/>
      <c r="H59" s="817"/>
      <c r="I59" s="817"/>
      <c r="J59" s="817"/>
      <c r="K59" s="817"/>
      <c r="L59" s="817"/>
      <c r="M59" s="817"/>
      <c r="N59" s="817"/>
      <c r="O59" s="817"/>
      <c r="P59" s="817"/>
      <c r="Q59" s="817"/>
      <c r="R59" s="184" t="s">
        <v>1022</v>
      </c>
      <c r="S59" s="817"/>
      <c r="T59" s="824"/>
      <c r="U59" s="186"/>
    </row>
    <row r="60" spans="1:21" ht="15" thickBot="1" x14ac:dyDescent="0.35">
      <c r="A60" s="841"/>
      <c r="B60" s="609"/>
      <c r="C60" s="187">
        <v>0.88</v>
      </c>
      <c r="D60" s="187">
        <v>1.03</v>
      </c>
      <c r="E60" s="832"/>
      <c r="F60" s="818"/>
      <c r="G60" s="818"/>
      <c r="H60" s="818"/>
      <c r="I60" s="818"/>
      <c r="J60" s="818"/>
      <c r="K60" s="818"/>
      <c r="L60" s="818"/>
      <c r="M60" s="818"/>
      <c r="N60" s="818"/>
      <c r="O60" s="818"/>
      <c r="P60" s="818"/>
      <c r="Q60" s="818"/>
      <c r="R60" s="188" t="s">
        <v>1023</v>
      </c>
      <c r="S60" s="818"/>
      <c r="T60" s="754"/>
      <c r="U60" s="189"/>
    </row>
    <row r="61" spans="1:21" ht="24.6" thickBot="1" x14ac:dyDescent="0.35">
      <c r="A61" s="202" t="s">
        <v>1024</v>
      </c>
      <c r="B61" s="23" t="s">
        <v>1025</v>
      </c>
      <c r="C61" s="200">
        <v>0</v>
      </c>
      <c r="D61" s="200">
        <v>1.49</v>
      </c>
      <c r="E61" s="200">
        <v>1.49</v>
      </c>
      <c r="F61" s="169">
        <v>7500</v>
      </c>
      <c r="G61" s="169" t="s">
        <v>978</v>
      </c>
      <c r="H61" s="219"/>
      <c r="I61" s="169"/>
      <c r="J61" s="169"/>
      <c r="K61" s="169"/>
      <c r="L61" s="169"/>
      <c r="M61" s="169"/>
      <c r="N61" s="169"/>
      <c r="O61" s="169"/>
      <c r="P61" s="169"/>
      <c r="Q61" s="169"/>
      <c r="R61" s="169">
        <v>70500050354</v>
      </c>
      <c r="S61" s="169"/>
      <c r="T61" s="111" t="s">
        <v>31</v>
      </c>
      <c r="U61" s="177"/>
    </row>
    <row r="62" spans="1:21" x14ac:dyDescent="0.3">
      <c r="A62" s="688" t="s">
        <v>1026</v>
      </c>
      <c r="B62" s="607" t="s">
        <v>1027</v>
      </c>
      <c r="C62" s="180">
        <v>0</v>
      </c>
      <c r="D62" s="180">
        <v>1.0580000000000001</v>
      </c>
      <c r="E62" s="830">
        <v>2.7549999999999999</v>
      </c>
      <c r="F62" s="816">
        <v>11019</v>
      </c>
      <c r="G62" s="816" t="s">
        <v>978</v>
      </c>
      <c r="H62" s="833"/>
      <c r="I62" s="816"/>
      <c r="J62" s="816"/>
      <c r="K62" s="816"/>
      <c r="L62" s="816"/>
      <c r="M62" s="816"/>
      <c r="N62" s="816"/>
      <c r="O62" s="816"/>
      <c r="P62" s="816"/>
      <c r="Q62" s="816"/>
      <c r="R62" s="181">
        <v>70500050353</v>
      </c>
      <c r="S62" s="816"/>
      <c r="T62" s="753" t="s">
        <v>31</v>
      </c>
      <c r="U62" s="860" t="s">
        <v>241</v>
      </c>
    </row>
    <row r="63" spans="1:21" x14ac:dyDescent="0.3">
      <c r="A63" s="690"/>
      <c r="B63" s="608"/>
      <c r="C63" s="191">
        <v>1.0580000000000001</v>
      </c>
      <c r="D63" s="183">
        <v>2.5430000000000001</v>
      </c>
      <c r="E63" s="831"/>
      <c r="F63" s="817"/>
      <c r="G63" s="817"/>
      <c r="H63" s="834"/>
      <c r="I63" s="817"/>
      <c r="J63" s="817"/>
      <c r="K63" s="817"/>
      <c r="L63" s="817"/>
      <c r="M63" s="817"/>
      <c r="N63" s="817"/>
      <c r="O63" s="817"/>
      <c r="P63" s="817"/>
      <c r="Q63" s="817"/>
      <c r="R63" s="184">
        <v>70500010076</v>
      </c>
      <c r="S63" s="817"/>
      <c r="T63" s="824"/>
      <c r="U63" s="861"/>
    </row>
    <row r="64" spans="1:21" ht="15" thickBot="1" x14ac:dyDescent="0.35">
      <c r="A64" s="689"/>
      <c r="B64" s="609"/>
      <c r="C64" s="187">
        <v>2.5430000000000001</v>
      </c>
      <c r="D64" s="187">
        <v>2.7549999999999999</v>
      </c>
      <c r="E64" s="832"/>
      <c r="F64" s="818"/>
      <c r="G64" s="818"/>
      <c r="H64" s="835"/>
      <c r="I64" s="818"/>
      <c r="J64" s="818"/>
      <c r="K64" s="818"/>
      <c r="L64" s="818"/>
      <c r="M64" s="818"/>
      <c r="N64" s="818"/>
      <c r="O64" s="818"/>
      <c r="P64" s="818"/>
      <c r="Q64" s="818"/>
      <c r="R64" s="188" t="s">
        <v>1028</v>
      </c>
      <c r="S64" s="818"/>
      <c r="T64" s="754"/>
      <c r="U64" s="862"/>
    </row>
    <row r="65" spans="1:21" x14ac:dyDescent="0.3">
      <c r="A65" s="838" t="s">
        <v>1029</v>
      </c>
      <c r="B65" s="607" t="s">
        <v>1030</v>
      </c>
      <c r="C65" s="830">
        <v>0</v>
      </c>
      <c r="D65" s="830">
        <v>1.444</v>
      </c>
      <c r="E65" s="830">
        <v>1.444</v>
      </c>
      <c r="F65" s="816">
        <v>5766</v>
      </c>
      <c r="G65" s="816" t="s">
        <v>32</v>
      </c>
      <c r="H65" s="816"/>
      <c r="I65" s="816"/>
      <c r="J65" s="816"/>
      <c r="K65" s="816"/>
      <c r="L65" s="816"/>
      <c r="M65" s="816"/>
      <c r="N65" s="816"/>
      <c r="O65" s="816"/>
      <c r="P65" s="816"/>
      <c r="Q65" s="816"/>
      <c r="R65" s="181">
        <v>70500020140</v>
      </c>
      <c r="S65" s="816"/>
      <c r="T65" s="753" t="s">
        <v>31</v>
      </c>
      <c r="U65" s="182"/>
    </row>
    <row r="66" spans="1:21" x14ac:dyDescent="0.3">
      <c r="A66" s="839"/>
      <c r="B66" s="608"/>
      <c r="C66" s="831"/>
      <c r="D66" s="831"/>
      <c r="E66" s="831"/>
      <c r="F66" s="817"/>
      <c r="G66" s="817"/>
      <c r="H66" s="817"/>
      <c r="I66" s="817"/>
      <c r="J66" s="817"/>
      <c r="K66" s="817"/>
      <c r="L66" s="817"/>
      <c r="M66" s="817"/>
      <c r="N66" s="817"/>
      <c r="O66" s="817"/>
      <c r="P66" s="817"/>
      <c r="Q66" s="817"/>
      <c r="R66" s="184" t="s">
        <v>1031</v>
      </c>
      <c r="S66" s="817"/>
      <c r="T66" s="824"/>
      <c r="U66" s="186"/>
    </row>
    <row r="67" spans="1:21" x14ac:dyDescent="0.3">
      <c r="A67" s="839"/>
      <c r="B67" s="608"/>
      <c r="C67" s="831"/>
      <c r="D67" s="831"/>
      <c r="E67" s="831"/>
      <c r="F67" s="817"/>
      <c r="G67" s="817"/>
      <c r="H67" s="817"/>
      <c r="I67" s="817"/>
      <c r="J67" s="817"/>
      <c r="K67" s="817"/>
      <c r="L67" s="817"/>
      <c r="M67" s="817"/>
      <c r="N67" s="817"/>
      <c r="O67" s="817"/>
      <c r="P67" s="817"/>
      <c r="Q67" s="817"/>
      <c r="R67" s="184" t="s">
        <v>1032</v>
      </c>
      <c r="S67" s="817"/>
      <c r="T67" s="824"/>
      <c r="U67" s="186"/>
    </row>
    <row r="68" spans="1:21" x14ac:dyDescent="0.3">
      <c r="A68" s="839"/>
      <c r="B68" s="608"/>
      <c r="C68" s="831"/>
      <c r="D68" s="831"/>
      <c r="E68" s="831"/>
      <c r="F68" s="817"/>
      <c r="G68" s="817"/>
      <c r="H68" s="817"/>
      <c r="I68" s="817"/>
      <c r="J68" s="817"/>
      <c r="K68" s="817"/>
      <c r="L68" s="817"/>
      <c r="M68" s="817"/>
      <c r="N68" s="817"/>
      <c r="O68" s="817"/>
      <c r="P68" s="817"/>
      <c r="Q68" s="817"/>
      <c r="R68" s="184" t="s">
        <v>1033</v>
      </c>
      <c r="S68" s="817"/>
      <c r="T68" s="824"/>
      <c r="U68" s="186"/>
    </row>
    <row r="69" spans="1:21" x14ac:dyDescent="0.3">
      <c r="A69" s="839"/>
      <c r="B69" s="608"/>
      <c r="C69" s="831"/>
      <c r="D69" s="831"/>
      <c r="E69" s="831"/>
      <c r="F69" s="817"/>
      <c r="G69" s="817"/>
      <c r="H69" s="817"/>
      <c r="I69" s="817"/>
      <c r="J69" s="817"/>
      <c r="K69" s="817"/>
      <c r="L69" s="817"/>
      <c r="M69" s="817"/>
      <c r="N69" s="817"/>
      <c r="O69" s="817"/>
      <c r="P69" s="817"/>
      <c r="Q69" s="817"/>
      <c r="R69" s="184" t="s">
        <v>1034</v>
      </c>
      <c r="S69" s="817"/>
      <c r="T69" s="824"/>
      <c r="U69" s="186"/>
    </row>
    <row r="70" spans="1:21" x14ac:dyDescent="0.3">
      <c r="A70" s="840"/>
      <c r="B70" s="764"/>
      <c r="C70" s="831"/>
      <c r="D70" s="831"/>
      <c r="E70" s="831"/>
      <c r="F70" s="856"/>
      <c r="G70" s="856"/>
      <c r="H70" s="856"/>
      <c r="I70" s="856"/>
      <c r="J70" s="856"/>
      <c r="K70" s="856"/>
      <c r="L70" s="856"/>
      <c r="M70" s="856"/>
      <c r="N70" s="856"/>
      <c r="O70" s="856"/>
      <c r="P70" s="856"/>
      <c r="Q70" s="856"/>
      <c r="R70" s="206" t="s">
        <v>1035</v>
      </c>
      <c r="S70" s="856"/>
      <c r="T70" s="824"/>
      <c r="U70" s="186"/>
    </row>
    <row r="71" spans="1:21" ht="15" thickBot="1" x14ac:dyDescent="0.35">
      <c r="A71" s="841"/>
      <c r="B71" s="609"/>
      <c r="C71" s="832"/>
      <c r="D71" s="832"/>
      <c r="E71" s="832"/>
      <c r="F71" s="818"/>
      <c r="G71" s="818"/>
      <c r="H71" s="818"/>
      <c r="I71" s="818"/>
      <c r="J71" s="818"/>
      <c r="K71" s="818"/>
      <c r="L71" s="818"/>
      <c r="M71" s="818"/>
      <c r="N71" s="818"/>
      <c r="O71" s="818"/>
      <c r="P71" s="818"/>
      <c r="Q71" s="818"/>
      <c r="R71" s="188" t="s">
        <v>1036</v>
      </c>
      <c r="S71" s="818"/>
      <c r="T71" s="754"/>
      <c r="U71" s="189"/>
    </row>
    <row r="72" spans="1:21" x14ac:dyDescent="0.3">
      <c r="A72" s="863" t="s">
        <v>1037</v>
      </c>
      <c r="B72" s="651" t="s">
        <v>1038</v>
      </c>
      <c r="C72" s="220">
        <v>0</v>
      </c>
      <c r="D72" s="220">
        <v>0.17</v>
      </c>
      <c r="E72" s="866">
        <v>1.1779999999999999</v>
      </c>
      <c r="F72" s="869">
        <v>1378</v>
      </c>
      <c r="G72" s="872" t="s">
        <v>32</v>
      </c>
      <c r="H72" s="833"/>
      <c r="I72" s="816"/>
      <c r="J72" s="816"/>
      <c r="K72" s="816"/>
      <c r="L72" s="816"/>
      <c r="M72" s="816"/>
      <c r="N72" s="816"/>
      <c r="O72" s="816"/>
      <c r="P72" s="816"/>
      <c r="Q72" s="816"/>
      <c r="R72" s="181" t="s">
        <v>1039</v>
      </c>
      <c r="S72" s="816"/>
      <c r="T72" s="753" t="s">
        <v>31</v>
      </c>
      <c r="U72" s="182"/>
    </row>
    <row r="73" spans="1:21" x14ac:dyDescent="0.3">
      <c r="A73" s="864"/>
      <c r="B73" s="711"/>
      <c r="C73" s="221">
        <v>0.17</v>
      </c>
      <c r="D73" s="221">
        <v>0.33200000000000002</v>
      </c>
      <c r="E73" s="867"/>
      <c r="F73" s="870"/>
      <c r="G73" s="873"/>
      <c r="H73" s="834"/>
      <c r="I73" s="817"/>
      <c r="J73" s="817"/>
      <c r="K73" s="817"/>
      <c r="L73" s="817"/>
      <c r="M73" s="817"/>
      <c r="N73" s="817"/>
      <c r="O73" s="817"/>
      <c r="P73" s="817"/>
      <c r="Q73" s="817"/>
      <c r="R73" s="184" t="s">
        <v>1040</v>
      </c>
      <c r="S73" s="817"/>
      <c r="T73" s="824"/>
      <c r="U73" s="186"/>
    </row>
    <row r="74" spans="1:21" x14ac:dyDescent="0.3">
      <c r="A74" s="864"/>
      <c r="B74" s="711"/>
      <c r="C74" s="221">
        <v>0.33200000000000002</v>
      </c>
      <c r="D74" s="221">
        <v>0.45100000000000001</v>
      </c>
      <c r="E74" s="867"/>
      <c r="F74" s="870"/>
      <c r="G74" s="873"/>
      <c r="H74" s="834"/>
      <c r="I74" s="817"/>
      <c r="J74" s="817"/>
      <c r="K74" s="817"/>
      <c r="L74" s="817"/>
      <c r="M74" s="817"/>
      <c r="N74" s="817"/>
      <c r="O74" s="817"/>
      <c r="P74" s="817"/>
      <c r="Q74" s="817"/>
      <c r="R74" s="184" t="s">
        <v>1041</v>
      </c>
      <c r="S74" s="817"/>
      <c r="T74" s="824"/>
      <c r="U74" s="186"/>
    </row>
    <row r="75" spans="1:21" x14ac:dyDescent="0.3">
      <c r="A75" s="864"/>
      <c r="B75" s="711"/>
      <c r="C75" s="221">
        <v>0.45100000000000001</v>
      </c>
      <c r="D75" s="221">
        <v>0.54400000000000004</v>
      </c>
      <c r="E75" s="867"/>
      <c r="F75" s="870"/>
      <c r="G75" s="873"/>
      <c r="H75" s="834"/>
      <c r="I75" s="817"/>
      <c r="J75" s="817"/>
      <c r="K75" s="817"/>
      <c r="L75" s="817"/>
      <c r="M75" s="817"/>
      <c r="N75" s="817"/>
      <c r="O75" s="817"/>
      <c r="P75" s="817"/>
      <c r="Q75" s="817"/>
      <c r="R75" s="184" t="s">
        <v>1042</v>
      </c>
      <c r="S75" s="817"/>
      <c r="T75" s="824"/>
      <c r="U75" s="186"/>
    </row>
    <row r="76" spans="1:21" x14ac:dyDescent="0.3">
      <c r="A76" s="864"/>
      <c r="B76" s="711"/>
      <c r="C76" s="221">
        <v>0.54400000000000004</v>
      </c>
      <c r="D76" s="221">
        <v>0.57799999999999996</v>
      </c>
      <c r="E76" s="867"/>
      <c r="F76" s="870"/>
      <c r="G76" s="873"/>
      <c r="H76" s="192"/>
      <c r="I76" s="184"/>
      <c r="J76" s="184"/>
      <c r="K76" s="184"/>
      <c r="L76" s="184"/>
      <c r="M76" s="184"/>
      <c r="N76" s="184"/>
      <c r="O76" s="184"/>
      <c r="P76" s="184"/>
      <c r="Q76" s="184"/>
      <c r="R76" s="184" t="s">
        <v>1043</v>
      </c>
      <c r="S76" s="184"/>
      <c r="T76" s="824"/>
      <c r="U76" s="186"/>
    </row>
    <row r="77" spans="1:21" x14ac:dyDescent="0.3">
      <c r="A77" s="864"/>
      <c r="B77" s="711"/>
      <c r="C77" s="221">
        <v>0.57799999999999996</v>
      </c>
      <c r="D77" s="221">
        <v>0.96399999999999997</v>
      </c>
      <c r="E77" s="867"/>
      <c r="F77" s="870"/>
      <c r="G77" s="873"/>
      <c r="H77" s="192"/>
      <c r="I77" s="184"/>
      <c r="J77" s="184"/>
      <c r="K77" s="184"/>
      <c r="L77" s="184"/>
      <c r="M77" s="184"/>
      <c r="N77" s="184"/>
      <c r="O77" s="184"/>
      <c r="P77" s="184"/>
      <c r="Q77" s="184"/>
      <c r="R77" s="184">
        <v>70500020109</v>
      </c>
      <c r="S77" s="184"/>
      <c r="T77" s="824"/>
      <c r="U77" s="186"/>
    </row>
    <row r="78" spans="1:21" x14ac:dyDescent="0.3">
      <c r="A78" s="864"/>
      <c r="B78" s="711"/>
      <c r="C78" s="221">
        <v>0.96399999999999997</v>
      </c>
      <c r="D78" s="221">
        <v>1.1180000000000001</v>
      </c>
      <c r="E78" s="867"/>
      <c r="F78" s="870"/>
      <c r="G78" s="873"/>
      <c r="H78" s="192"/>
      <c r="I78" s="184"/>
      <c r="J78" s="184"/>
      <c r="K78" s="184"/>
      <c r="L78" s="184"/>
      <c r="M78" s="184"/>
      <c r="N78" s="184"/>
      <c r="O78" s="184"/>
      <c r="P78" s="184"/>
      <c r="Q78" s="184"/>
      <c r="R78" s="184" t="s">
        <v>1042</v>
      </c>
      <c r="S78" s="184"/>
      <c r="T78" s="824"/>
      <c r="U78" s="186"/>
    </row>
    <row r="79" spans="1:21" ht="15" thickBot="1" x14ac:dyDescent="0.35">
      <c r="A79" s="865"/>
      <c r="B79" s="652"/>
      <c r="C79" s="223">
        <v>1.1180000000000001</v>
      </c>
      <c r="D79" s="223">
        <v>1.1779999999999999</v>
      </c>
      <c r="E79" s="868"/>
      <c r="F79" s="871"/>
      <c r="G79" s="874"/>
      <c r="H79" s="194"/>
      <c r="I79" s="188"/>
      <c r="J79" s="188"/>
      <c r="K79" s="188"/>
      <c r="L79" s="188"/>
      <c r="M79" s="188"/>
      <c r="N79" s="188"/>
      <c r="O79" s="188"/>
      <c r="P79" s="188"/>
      <c r="Q79" s="188"/>
      <c r="R79" s="188">
        <v>70500020010</v>
      </c>
      <c r="S79" s="188"/>
      <c r="T79" s="754"/>
      <c r="U79" s="189"/>
    </row>
    <row r="80" spans="1:21" ht="24.6" thickBot="1" x14ac:dyDescent="0.35">
      <c r="A80" s="202" t="s">
        <v>1044</v>
      </c>
      <c r="B80" s="23" t="s">
        <v>1045</v>
      </c>
      <c r="C80" s="200">
        <v>0</v>
      </c>
      <c r="D80" s="200">
        <v>0.71799999999999997</v>
      </c>
      <c r="E80" s="200">
        <v>0.71799999999999997</v>
      </c>
      <c r="F80" s="169">
        <v>2871</v>
      </c>
      <c r="G80" s="169" t="s">
        <v>978</v>
      </c>
      <c r="H80" s="219"/>
      <c r="I80" s="169"/>
      <c r="J80" s="169"/>
      <c r="K80" s="169"/>
      <c r="L80" s="169"/>
      <c r="M80" s="169"/>
      <c r="N80" s="169"/>
      <c r="O80" s="169"/>
      <c r="P80" s="169"/>
      <c r="Q80" s="169"/>
      <c r="R80" s="169">
        <v>70500050357</v>
      </c>
      <c r="S80" s="169"/>
      <c r="T80" s="203" t="s">
        <v>31</v>
      </c>
      <c r="U80" s="177"/>
    </row>
    <row r="81" spans="1:21" ht="24.6" thickBot="1" x14ac:dyDescent="0.35">
      <c r="A81" s="202" t="s">
        <v>1046</v>
      </c>
      <c r="B81" s="23" t="s">
        <v>1047</v>
      </c>
      <c r="C81" s="200">
        <v>0</v>
      </c>
      <c r="D81" s="200">
        <v>1.9279999999999999</v>
      </c>
      <c r="E81" s="200">
        <v>1.9279999999999999</v>
      </c>
      <c r="F81" s="169">
        <v>7712</v>
      </c>
      <c r="G81" s="169" t="s">
        <v>32</v>
      </c>
      <c r="H81" s="219"/>
      <c r="I81" s="169"/>
      <c r="J81" s="169"/>
      <c r="K81" s="169"/>
      <c r="L81" s="169"/>
      <c r="M81" s="169"/>
      <c r="N81" s="169"/>
      <c r="O81" s="169"/>
      <c r="P81" s="169"/>
      <c r="Q81" s="169"/>
      <c r="R81" s="169">
        <v>70500030128</v>
      </c>
      <c r="S81" s="169"/>
      <c r="T81" s="203" t="s">
        <v>31</v>
      </c>
      <c r="U81" s="177"/>
    </row>
    <row r="82" spans="1:21" x14ac:dyDescent="0.3">
      <c r="A82" s="838" t="s">
        <v>1048</v>
      </c>
      <c r="B82" s="607" t="s">
        <v>1049</v>
      </c>
      <c r="C82" s="830">
        <v>0</v>
      </c>
      <c r="D82" s="830">
        <v>1.411</v>
      </c>
      <c r="E82" s="830">
        <v>1.411</v>
      </c>
      <c r="F82" s="816">
        <v>5643</v>
      </c>
      <c r="G82" s="816" t="s">
        <v>978</v>
      </c>
      <c r="H82" s="833"/>
      <c r="I82" s="816"/>
      <c r="J82" s="816"/>
      <c r="K82" s="816"/>
      <c r="L82" s="816"/>
      <c r="M82" s="816"/>
      <c r="N82" s="816"/>
      <c r="O82" s="816"/>
      <c r="P82" s="816"/>
      <c r="Q82" s="816"/>
      <c r="R82" s="181">
        <v>70500050352</v>
      </c>
      <c r="S82" s="816"/>
      <c r="T82" s="876" t="s">
        <v>31</v>
      </c>
      <c r="U82" s="182"/>
    </row>
    <row r="83" spans="1:21" x14ac:dyDescent="0.3">
      <c r="A83" s="864"/>
      <c r="B83" s="711"/>
      <c r="C83" s="831"/>
      <c r="D83" s="831"/>
      <c r="E83" s="831"/>
      <c r="F83" s="873"/>
      <c r="G83" s="873"/>
      <c r="H83" s="875"/>
      <c r="I83" s="873"/>
      <c r="J83" s="873"/>
      <c r="K83" s="873"/>
      <c r="L83" s="873"/>
      <c r="M83" s="873"/>
      <c r="N83" s="873"/>
      <c r="O83" s="873"/>
      <c r="P83" s="873"/>
      <c r="Q83" s="873"/>
      <c r="R83" s="222" t="s">
        <v>1050</v>
      </c>
      <c r="S83" s="873"/>
      <c r="T83" s="877"/>
      <c r="U83" s="186"/>
    </row>
    <row r="84" spans="1:21" x14ac:dyDescent="0.3">
      <c r="A84" s="864"/>
      <c r="B84" s="711"/>
      <c r="C84" s="831"/>
      <c r="D84" s="831"/>
      <c r="E84" s="831"/>
      <c r="F84" s="873"/>
      <c r="G84" s="873"/>
      <c r="H84" s="875"/>
      <c r="I84" s="873"/>
      <c r="J84" s="873"/>
      <c r="K84" s="873"/>
      <c r="L84" s="873"/>
      <c r="M84" s="873"/>
      <c r="N84" s="873"/>
      <c r="O84" s="873"/>
      <c r="P84" s="873"/>
      <c r="Q84" s="873"/>
      <c r="R84" s="184" t="s">
        <v>1051</v>
      </c>
      <c r="S84" s="873"/>
      <c r="T84" s="877"/>
      <c r="U84" s="186"/>
    </row>
    <row r="85" spans="1:21" ht="15" thickBot="1" x14ac:dyDescent="0.35">
      <c r="A85" s="841"/>
      <c r="B85" s="609"/>
      <c r="C85" s="832"/>
      <c r="D85" s="832"/>
      <c r="E85" s="832"/>
      <c r="F85" s="818"/>
      <c r="G85" s="818"/>
      <c r="H85" s="835"/>
      <c r="I85" s="818"/>
      <c r="J85" s="818"/>
      <c r="K85" s="818"/>
      <c r="L85" s="818"/>
      <c r="M85" s="818"/>
      <c r="N85" s="818"/>
      <c r="O85" s="818"/>
      <c r="P85" s="818"/>
      <c r="Q85" s="818"/>
      <c r="R85" s="188" t="s">
        <v>1052</v>
      </c>
      <c r="S85" s="818"/>
      <c r="T85" s="878"/>
      <c r="U85" s="189"/>
    </row>
    <row r="86" spans="1:21" ht="14.4" customHeight="1" x14ac:dyDescent="0.3">
      <c r="A86" s="863" t="s">
        <v>1053</v>
      </c>
      <c r="B86" s="651" t="s">
        <v>1054</v>
      </c>
      <c r="C86" s="830">
        <v>0</v>
      </c>
      <c r="D86" s="830">
        <v>0.80400000000000005</v>
      </c>
      <c r="E86" s="830">
        <v>0.80400000000000005</v>
      </c>
      <c r="F86" s="872">
        <v>3339</v>
      </c>
      <c r="G86" s="872" t="s">
        <v>978</v>
      </c>
      <c r="H86" s="226"/>
      <c r="I86" s="227"/>
      <c r="J86" s="227"/>
      <c r="K86" s="227"/>
      <c r="L86" s="227"/>
      <c r="M86" s="227"/>
      <c r="N86" s="227"/>
      <c r="O86" s="227"/>
      <c r="P86" s="227"/>
      <c r="Q86" s="227"/>
      <c r="R86" s="181">
        <v>70500050448</v>
      </c>
      <c r="S86" s="816"/>
      <c r="T86" s="876" t="s">
        <v>31</v>
      </c>
      <c r="U86" s="879" t="s">
        <v>241</v>
      </c>
    </row>
    <row r="87" spans="1:21" x14ac:dyDescent="0.3">
      <c r="A87" s="864"/>
      <c r="B87" s="711"/>
      <c r="C87" s="831"/>
      <c r="D87" s="831"/>
      <c r="E87" s="831"/>
      <c r="F87" s="873"/>
      <c r="G87" s="873"/>
      <c r="H87" s="228"/>
      <c r="I87" s="229"/>
      <c r="J87" s="229"/>
      <c r="K87" s="229"/>
      <c r="L87" s="229"/>
      <c r="M87" s="229"/>
      <c r="N87" s="229"/>
      <c r="O87" s="229"/>
      <c r="P87" s="229"/>
      <c r="Q87" s="229"/>
      <c r="R87" s="184" t="s">
        <v>1055</v>
      </c>
      <c r="S87" s="817"/>
      <c r="T87" s="877"/>
      <c r="U87" s="880"/>
    </row>
    <row r="88" spans="1:21" x14ac:dyDescent="0.3">
      <c r="A88" s="864"/>
      <c r="B88" s="711"/>
      <c r="C88" s="831"/>
      <c r="D88" s="831"/>
      <c r="E88" s="831"/>
      <c r="F88" s="873"/>
      <c r="G88" s="873"/>
      <c r="H88" s="230"/>
      <c r="I88" s="184"/>
      <c r="J88" s="184"/>
      <c r="K88" s="184"/>
      <c r="L88" s="184"/>
      <c r="M88" s="184"/>
      <c r="N88" s="184"/>
      <c r="O88" s="184"/>
      <c r="P88" s="184"/>
      <c r="Q88" s="184"/>
      <c r="R88" s="184" t="s">
        <v>1056</v>
      </c>
      <c r="S88" s="184"/>
      <c r="T88" s="877"/>
      <c r="U88" s="880"/>
    </row>
    <row r="89" spans="1:21" x14ac:dyDescent="0.3">
      <c r="A89" s="864"/>
      <c r="B89" s="711"/>
      <c r="C89" s="831"/>
      <c r="D89" s="831"/>
      <c r="E89" s="831"/>
      <c r="F89" s="873"/>
      <c r="G89" s="873"/>
      <c r="H89" s="230"/>
      <c r="I89" s="184"/>
      <c r="J89" s="184"/>
      <c r="K89" s="184"/>
      <c r="L89" s="184"/>
      <c r="M89" s="184"/>
      <c r="N89" s="184"/>
      <c r="O89" s="184"/>
      <c r="P89" s="184"/>
      <c r="Q89" s="184"/>
      <c r="R89" s="184">
        <v>70500050351</v>
      </c>
      <c r="S89" s="184"/>
      <c r="T89" s="877"/>
      <c r="U89" s="880"/>
    </row>
    <row r="90" spans="1:21" ht="15" thickBot="1" x14ac:dyDescent="0.35">
      <c r="A90" s="865"/>
      <c r="B90" s="652"/>
      <c r="C90" s="832"/>
      <c r="D90" s="832"/>
      <c r="E90" s="832"/>
      <c r="F90" s="874"/>
      <c r="G90" s="874"/>
      <c r="H90" s="231"/>
      <c r="I90" s="188"/>
      <c r="J90" s="188"/>
      <c r="K90" s="188"/>
      <c r="L90" s="188"/>
      <c r="M90" s="188"/>
      <c r="N90" s="188"/>
      <c r="O90" s="188"/>
      <c r="P90" s="188"/>
      <c r="Q90" s="188"/>
      <c r="R90" s="188" t="s">
        <v>1057</v>
      </c>
      <c r="S90" s="188"/>
      <c r="T90" s="878"/>
      <c r="U90" s="880"/>
    </row>
    <row r="91" spans="1:21" ht="14.4" customHeight="1" x14ac:dyDescent="0.3">
      <c r="A91" s="825" t="s">
        <v>1058</v>
      </c>
      <c r="B91" s="607" t="s">
        <v>1059</v>
      </c>
      <c r="C91" s="180">
        <v>0</v>
      </c>
      <c r="D91" s="180">
        <v>0.7</v>
      </c>
      <c r="E91" s="830">
        <v>2.4300000000000002</v>
      </c>
      <c r="F91" s="816">
        <v>9721</v>
      </c>
      <c r="G91" s="816" t="s">
        <v>978</v>
      </c>
      <c r="H91" s="833"/>
      <c r="I91" s="816"/>
      <c r="J91" s="816"/>
      <c r="K91" s="816"/>
      <c r="L91" s="816"/>
      <c r="M91" s="816"/>
      <c r="N91" s="816"/>
      <c r="O91" s="816"/>
      <c r="P91" s="816"/>
      <c r="Q91" s="816"/>
      <c r="R91" s="181">
        <v>70500010084</v>
      </c>
      <c r="S91" s="816"/>
      <c r="T91" s="753" t="s">
        <v>31</v>
      </c>
      <c r="U91" s="879" t="s">
        <v>241</v>
      </c>
    </row>
    <row r="92" spans="1:21" x14ac:dyDescent="0.3">
      <c r="A92" s="829"/>
      <c r="B92" s="608"/>
      <c r="C92" s="191">
        <v>0.7</v>
      </c>
      <c r="D92" s="183">
        <v>1.2230000000000001</v>
      </c>
      <c r="E92" s="831"/>
      <c r="F92" s="817"/>
      <c r="G92" s="817"/>
      <c r="H92" s="834"/>
      <c r="I92" s="817"/>
      <c r="J92" s="817"/>
      <c r="K92" s="817"/>
      <c r="L92" s="817"/>
      <c r="M92" s="817"/>
      <c r="N92" s="817"/>
      <c r="O92" s="817"/>
      <c r="P92" s="817"/>
      <c r="Q92" s="817"/>
      <c r="R92" s="184" t="s">
        <v>1060</v>
      </c>
      <c r="S92" s="817"/>
      <c r="T92" s="824"/>
      <c r="U92" s="880"/>
    </row>
    <row r="93" spans="1:21" x14ac:dyDescent="0.3">
      <c r="A93" s="829"/>
      <c r="B93" s="608"/>
      <c r="C93" s="183">
        <v>1.2230000000000001</v>
      </c>
      <c r="D93" s="183">
        <v>1.2789999999999999</v>
      </c>
      <c r="E93" s="831"/>
      <c r="F93" s="817"/>
      <c r="G93" s="817"/>
      <c r="H93" s="834"/>
      <c r="I93" s="817"/>
      <c r="J93" s="817"/>
      <c r="K93" s="817"/>
      <c r="L93" s="817"/>
      <c r="M93" s="817"/>
      <c r="N93" s="817"/>
      <c r="O93" s="817"/>
      <c r="P93" s="817"/>
      <c r="Q93" s="817"/>
      <c r="R93" s="184" t="s">
        <v>1028</v>
      </c>
      <c r="S93" s="817"/>
      <c r="T93" s="824"/>
      <c r="U93" s="880"/>
    </row>
    <row r="94" spans="1:21" x14ac:dyDescent="0.3">
      <c r="A94" s="829"/>
      <c r="B94" s="608"/>
      <c r="C94" s="183">
        <v>1.2789999999999999</v>
      </c>
      <c r="D94" s="183">
        <v>1.409</v>
      </c>
      <c r="E94" s="831"/>
      <c r="F94" s="817"/>
      <c r="G94" s="817"/>
      <c r="H94" s="834"/>
      <c r="I94" s="817"/>
      <c r="J94" s="817"/>
      <c r="K94" s="817"/>
      <c r="L94" s="817"/>
      <c r="M94" s="817"/>
      <c r="N94" s="817"/>
      <c r="O94" s="817"/>
      <c r="P94" s="817"/>
      <c r="Q94" s="817"/>
      <c r="R94" s="184" t="s">
        <v>1061</v>
      </c>
      <c r="S94" s="817"/>
      <c r="T94" s="824"/>
      <c r="U94" s="880"/>
    </row>
    <row r="95" spans="1:21" x14ac:dyDescent="0.3">
      <c r="A95" s="829"/>
      <c r="B95" s="608"/>
      <c r="C95" s="183">
        <v>1.409</v>
      </c>
      <c r="D95" s="183">
        <v>1.871</v>
      </c>
      <c r="E95" s="831"/>
      <c r="F95" s="817"/>
      <c r="G95" s="817"/>
      <c r="H95" s="834"/>
      <c r="I95" s="817"/>
      <c r="J95" s="817"/>
      <c r="K95" s="817"/>
      <c r="L95" s="817"/>
      <c r="M95" s="817"/>
      <c r="N95" s="817"/>
      <c r="O95" s="817"/>
      <c r="P95" s="817"/>
      <c r="Q95" s="817"/>
      <c r="R95" s="184" t="s">
        <v>1062</v>
      </c>
      <c r="S95" s="817"/>
      <c r="T95" s="824"/>
      <c r="U95" s="880"/>
    </row>
    <row r="96" spans="1:21" x14ac:dyDescent="0.3">
      <c r="A96" s="829"/>
      <c r="B96" s="608"/>
      <c r="C96" s="183">
        <v>1.871</v>
      </c>
      <c r="D96" s="183">
        <v>2.09</v>
      </c>
      <c r="E96" s="831"/>
      <c r="F96" s="817"/>
      <c r="G96" s="817"/>
      <c r="H96" s="834"/>
      <c r="I96" s="817"/>
      <c r="J96" s="817"/>
      <c r="K96" s="817"/>
      <c r="L96" s="817"/>
      <c r="M96" s="817"/>
      <c r="N96" s="817"/>
      <c r="O96" s="817"/>
      <c r="P96" s="817"/>
      <c r="Q96" s="817"/>
      <c r="R96" s="184" t="s">
        <v>1063</v>
      </c>
      <c r="S96" s="817"/>
      <c r="T96" s="824"/>
      <c r="U96" s="880"/>
    </row>
    <row r="97" spans="1:21" x14ac:dyDescent="0.3">
      <c r="A97" s="829"/>
      <c r="B97" s="608"/>
      <c r="C97" s="183">
        <v>2.09</v>
      </c>
      <c r="D97" s="183">
        <v>2.2120000000000002</v>
      </c>
      <c r="E97" s="831"/>
      <c r="F97" s="817"/>
      <c r="G97" s="817"/>
      <c r="H97" s="834"/>
      <c r="I97" s="817"/>
      <c r="J97" s="817"/>
      <c r="K97" s="817"/>
      <c r="L97" s="817"/>
      <c r="M97" s="817"/>
      <c r="N97" s="817"/>
      <c r="O97" s="817"/>
      <c r="P97" s="817"/>
      <c r="Q97" s="817"/>
      <c r="R97" s="184" t="s">
        <v>1064</v>
      </c>
      <c r="S97" s="817"/>
      <c r="T97" s="824"/>
      <c r="U97" s="880"/>
    </row>
    <row r="98" spans="1:21" ht="15" thickBot="1" x14ac:dyDescent="0.35">
      <c r="A98" s="881"/>
      <c r="B98" s="764"/>
      <c r="C98" s="232">
        <v>2.2120000000000002</v>
      </c>
      <c r="D98" s="232">
        <v>2.4300000000000002</v>
      </c>
      <c r="E98" s="832"/>
      <c r="F98" s="856"/>
      <c r="G98" s="856"/>
      <c r="H98" s="883"/>
      <c r="I98" s="856"/>
      <c r="J98" s="856"/>
      <c r="K98" s="856"/>
      <c r="L98" s="856"/>
      <c r="M98" s="856"/>
      <c r="N98" s="856"/>
      <c r="O98" s="856"/>
      <c r="P98" s="856"/>
      <c r="Q98" s="856"/>
      <c r="R98" s="206" t="s">
        <v>1065</v>
      </c>
      <c r="S98" s="856"/>
      <c r="T98" s="824"/>
      <c r="U98" s="882"/>
    </row>
    <row r="99" spans="1:21" ht="24" x14ac:dyDescent="0.3">
      <c r="A99" s="825" t="s">
        <v>1066</v>
      </c>
      <c r="B99" s="607" t="s">
        <v>1067</v>
      </c>
      <c r="C99" s="866">
        <v>0</v>
      </c>
      <c r="D99" s="866">
        <v>4.3849999999999998</v>
      </c>
      <c r="E99" s="866">
        <v>4.3849999999999998</v>
      </c>
      <c r="F99" s="885">
        <v>17541</v>
      </c>
      <c r="G99" s="885" t="s">
        <v>32</v>
      </c>
      <c r="H99" s="233" t="s">
        <v>1068</v>
      </c>
      <c r="I99" s="233" t="s">
        <v>1069</v>
      </c>
      <c r="J99" s="233" t="s">
        <v>1070</v>
      </c>
      <c r="K99" s="233" t="s">
        <v>972</v>
      </c>
      <c r="L99" s="233">
        <v>2.4500000000000002</v>
      </c>
      <c r="M99" s="233"/>
      <c r="N99" s="233"/>
      <c r="O99" s="233"/>
      <c r="P99" s="233"/>
      <c r="Q99" s="233"/>
      <c r="R99" s="233">
        <v>70500070124</v>
      </c>
      <c r="S99" s="233"/>
      <c r="T99" s="746" t="s">
        <v>31</v>
      </c>
      <c r="U99" s="860" t="s">
        <v>241</v>
      </c>
    </row>
    <row r="100" spans="1:21" x14ac:dyDescent="0.3">
      <c r="A100" s="884"/>
      <c r="B100" s="618"/>
      <c r="C100" s="867"/>
      <c r="D100" s="867"/>
      <c r="E100" s="867"/>
      <c r="F100" s="886"/>
      <c r="G100" s="886"/>
      <c r="H100" s="234"/>
      <c r="I100" s="234"/>
      <c r="J100" s="234"/>
      <c r="K100" s="234"/>
      <c r="L100" s="234"/>
      <c r="M100" s="234"/>
      <c r="N100" s="234"/>
      <c r="O100" s="234"/>
      <c r="P100" s="234"/>
      <c r="Q100" s="234"/>
      <c r="R100" s="234" t="s">
        <v>1071</v>
      </c>
      <c r="S100" s="234"/>
      <c r="T100" s="890"/>
      <c r="U100" s="891"/>
    </row>
    <row r="101" spans="1:21" x14ac:dyDescent="0.3">
      <c r="A101" s="829"/>
      <c r="B101" s="608"/>
      <c r="C101" s="867"/>
      <c r="D101" s="867"/>
      <c r="E101" s="867"/>
      <c r="F101" s="887"/>
      <c r="G101" s="887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>
        <v>70500080094</v>
      </c>
      <c r="S101" s="235"/>
      <c r="T101" s="803"/>
      <c r="U101" s="861"/>
    </row>
    <row r="102" spans="1:21" x14ac:dyDescent="0.3">
      <c r="A102" s="829"/>
      <c r="B102" s="608"/>
      <c r="C102" s="867"/>
      <c r="D102" s="867"/>
      <c r="E102" s="867"/>
      <c r="F102" s="887"/>
      <c r="G102" s="887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>
        <v>70500080100</v>
      </c>
      <c r="S102" s="235"/>
      <c r="T102" s="803"/>
      <c r="U102" s="861"/>
    </row>
    <row r="103" spans="1:21" x14ac:dyDescent="0.3">
      <c r="A103" s="829"/>
      <c r="B103" s="608"/>
      <c r="C103" s="867"/>
      <c r="D103" s="867"/>
      <c r="E103" s="867"/>
      <c r="F103" s="887"/>
      <c r="G103" s="887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 t="s">
        <v>1072</v>
      </c>
      <c r="S103" s="235"/>
      <c r="T103" s="803"/>
      <c r="U103" s="861"/>
    </row>
    <row r="104" spans="1:21" x14ac:dyDescent="0.3">
      <c r="A104" s="829"/>
      <c r="B104" s="608"/>
      <c r="C104" s="867"/>
      <c r="D104" s="867"/>
      <c r="E104" s="867"/>
      <c r="F104" s="887"/>
      <c r="G104" s="887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 t="s">
        <v>1073</v>
      </c>
      <c r="S104" s="235"/>
      <c r="T104" s="803"/>
      <c r="U104" s="861"/>
    </row>
    <row r="105" spans="1:21" x14ac:dyDescent="0.3">
      <c r="A105" s="829"/>
      <c r="B105" s="608"/>
      <c r="C105" s="867"/>
      <c r="D105" s="867"/>
      <c r="E105" s="867"/>
      <c r="F105" s="887"/>
      <c r="G105" s="887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 t="s">
        <v>1074</v>
      </c>
      <c r="S105" s="235"/>
      <c r="T105" s="803"/>
      <c r="U105" s="861"/>
    </row>
    <row r="106" spans="1:21" x14ac:dyDescent="0.3">
      <c r="A106" s="881"/>
      <c r="B106" s="764"/>
      <c r="C106" s="867"/>
      <c r="D106" s="867"/>
      <c r="E106" s="867"/>
      <c r="F106" s="888"/>
      <c r="G106" s="888"/>
      <c r="H106" s="236"/>
      <c r="I106" s="236"/>
      <c r="J106" s="236"/>
      <c r="K106" s="236"/>
      <c r="L106" s="236"/>
      <c r="M106" s="236"/>
      <c r="N106" s="236"/>
      <c r="O106" s="236"/>
      <c r="P106" s="236"/>
      <c r="Q106" s="236"/>
      <c r="R106" s="236" t="s">
        <v>1075</v>
      </c>
      <c r="S106" s="236"/>
      <c r="T106" s="846"/>
      <c r="U106" s="892"/>
    </row>
    <row r="107" spans="1:21" ht="15" thickBot="1" x14ac:dyDescent="0.35">
      <c r="A107" s="826"/>
      <c r="B107" s="609"/>
      <c r="C107" s="868"/>
      <c r="D107" s="868"/>
      <c r="E107" s="868"/>
      <c r="F107" s="889"/>
      <c r="G107" s="889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>
        <v>70500060082</v>
      </c>
      <c r="S107" s="237"/>
      <c r="T107" s="747"/>
      <c r="U107" s="862"/>
    </row>
    <row r="108" spans="1:21" x14ac:dyDescent="0.3">
      <c r="A108" s="838" t="s">
        <v>1076</v>
      </c>
      <c r="B108" s="607" t="s">
        <v>1077</v>
      </c>
      <c r="C108" s="180">
        <v>0</v>
      </c>
      <c r="D108" s="180">
        <v>0.42199999999999999</v>
      </c>
      <c r="E108" s="830">
        <v>2.0459999999999998</v>
      </c>
      <c r="F108" s="816">
        <v>8183</v>
      </c>
      <c r="G108" s="816" t="s">
        <v>32</v>
      </c>
      <c r="H108" s="833"/>
      <c r="I108" s="816"/>
      <c r="J108" s="816"/>
      <c r="K108" s="816"/>
      <c r="L108" s="816"/>
      <c r="M108" s="816"/>
      <c r="N108" s="816"/>
      <c r="O108" s="816"/>
      <c r="P108" s="816"/>
      <c r="Q108" s="816"/>
      <c r="R108" s="181">
        <v>70500080093</v>
      </c>
      <c r="S108" s="816"/>
      <c r="T108" s="876" t="s">
        <v>31</v>
      </c>
      <c r="U108" s="182"/>
    </row>
    <row r="109" spans="1:21" ht="15" thickBot="1" x14ac:dyDescent="0.35">
      <c r="A109" s="841"/>
      <c r="B109" s="609"/>
      <c r="C109" s="193">
        <v>0.42199999999999999</v>
      </c>
      <c r="D109" s="187">
        <v>2.0459999999999998</v>
      </c>
      <c r="E109" s="832"/>
      <c r="F109" s="818"/>
      <c r="G109" s="818"/>
      <c r="H109" s="835"/>
      <c r="I109" s="818"/>
      <c r="J109" s="818"/>
      <c r="K109" s="818"/>
      <c r="L109" s="818"/>
      <c r="M109" s="818"/>
      <c r="N109" s="818"/>
      <c r="O109" s="818"/>
      <c r="P109" s="818"/>
      <c r="Q109" s="818"/>
      <c r="R109" s="188">
        <v>70500060081</v>
      </c>
      <c r="S109" s="818"/>
      <c r="T109" s="878"/>
      <c r="U109" s="189"/>
    </row>
    <row r="110" spans="1:21" ht="24" customHeight="1" thickBot="1" x14ac:dyDescent="0.35">
      <c r="A110" s="202" t="s">
        <v>1078</v>
      </c>
      <c r="B110" s="23" t="s">
        <v>1079</v>
      </c>
      <c r="C110" s="238">
        <v>0</v>
      </c>
      <c r="D110" s="238">
        <v>0.23</v>
      </c>
      <c r="E110" s="238">
        <v>0.23</v>
      </c>
      <c r="F110" s="77">
        <v>921</v>
      </c>
      <c r="G110" s="77" t="s">
        <v>29</v>
      </c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>
        <v>70500030130</v>
      </c>
      <c r="S110" s="169"/>
      <c r="T110" s="111" t="s">
        <v>31</v>
      </c>
      <c r="U110" s="177"/>
    </row>
    <row r="111" spans="1:21" ht="24.6" thickBot="1" x14ac:dyDescent="0.35">
      <c r="A111" s="202" t="s">
        <v>1080</v>
      </c>
      <c r="B111" s="23" t="s">
        <v>1081</v>
      </c>
      <c r="C111" s="41">
        <v>0</v>
      </c>
      <c r="D111" s="41">
        <v>0.44700000000000001</v>
      </c>
      <c r="E111" s="41">
        <v>0.44700000000000001</v>
      </c>
      <c r="F111" s="3">
        <v>2682</v>
      </c>
      <c r="G111" s="3" t="s">
        <v>32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>
        <v>70500050359</v>
      </c>
      <c r="S111" s="3"/>
      <c r="T111" s="111" t="s">
        <v>31</v>
      </c>
      <c r="U111" s="177"/>
    </row>
    <row r="112" spans="1:21" ht="24.6" thickBot="1" x14ac:dyDescent="0.35">
      <c r="A112" s="202" t="s">
        <v>1082</v>
      </c>
      <c r="B112" s="23" t="s">
        <v>1083</v>
      </c>
      <c r="C112" s="238">
        <v>0</v>
      </c>
      <c r="D112" s="238">
        <v>0.88100000000000001</v>
      </c>
      <c r="E112" s="238">
        <v>0.88100000000000001</v>
      </c>
      <c r="F112" s="77">
        <v>5288</v>
      </c>
      <c r="G112" s="77" t="s">
        <v>32</v>
      </c>
      <c r="H112" s="77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>
        <v>70500040137</v>
      </c>
      <c r="S112" s="169"/>
      <c r="T112" s="111" t="s">
        <v>31</v>
      </c>
      <c r="U112" s="177"/>
    </row>
    <row r="113" spans="1:21" x14ac:dyDescent="0.3">
      <c r="A113" s="838" t="s">
        <v>1084</v>
      </c>
      <c r="B113" s="607" t="s">
        <v>1085</v>
      </c>
      <c r="C113" s="830">
        <v>0</v>
      </c>
      <c r="D113" s="830">
        <v>1.1439999999999999</v>
      </c>
      <c r="E113" s="830">
        <v>1.1439999999999999</v>
      </c>
      <c r="F113" s="816">
        <v>4578</v>
      </c>
      <c r="G113" s="816" t="s">
        <v>32</v>
      </c>
      <c r="H113" s="816"/>
      <c r="I113" s="816"/>
      <c r="J113" s="816"/>
      <c r="K113" s="816"/>
      <c r="L113" s="816"/>
      <c r="M113" s="816"/>
      <c r="N113" s="816"/>
      <c r="O113" s="816"/>
      <c r="P113" s="816"/>
      <c r="Q113" s="816"/>
      <c r="R113" s="181">
        <v>70500020138</v>
      </c>
      <c r="S113" s="816"/>
      <c r="T113" s="876" t="s">
        <v>31</v>
      </c>
      <c r="U113" s="860" t="s">
        <v>241</v>
      </c>
    </row>
    <row r="114" spans="1:21" x14ac:dyDescent="0.3">
      <c r="A114" s="839"/>
      <c r="B114" s="608"/>
      <c r="C114" s="831"/>
      <c r="D114" s="831"/>
      <c r="E114" s="831"/>
      <c r="F114" s="817"/>
      <c r="G114" s="817"/>
      <c r="H114" s="817"/>
      <c r="I114" s="817"/>
      <c r="J114" s="817"/>
      <c r="K114" s="817"/>
      <c r="L114" s="817"/>
      <c r="M114" s="817"/>
      <c r="N114" s="817"/>
      <c r="O114" s="817"/>
      <c r="P114" s="817"/>
      <c r="Q114" s="817"/>
      <c r="R114" s="184">
        <v>70500020155</v>
      </c>
      <c r="S114" s="817"/>
      <c r="T114" s="877"/>
      <c r="U114" s="891"/>
    </row>
    <row r="115" spans="1:21" x14ac:dyDescent="0.3">
      <c r="A115" s="839"/>
      <c r="B115" s="608"/>
      <c r="C115" s="831"/>
      <c r="D115" s="831"/>
      <c r="E115" s="831"/>
      <c r="F115" s="817"/>
      <c r="G115" s="817"/>
      <c r="H115" s="817"/>
      <c r="I115" s="817"/>
      <c r="J115" s="817"/>
      <c r="K115" s="817"/>
      <c r="L115" s="817"/>
      <c r="M115" s="817"/>
      <c r="N115" s="817"/>
      <c r="O115" s="817"/>
      <c r="P115" s="817"/>
      <c r="Q115" s="817"/>
      <c r="R115" s="184">
        <v>70500020137</v>
      </c>
      <c r="S115" s="817"/>
      <c r="T115" s="877"/>
      <c r="U115" s="861"/>
    </row>
    <row r="116" spans="1:21" x14ac:dyDescent="0.3">
      <c r="A116" s="839"/>
      <c r="B116" s="608"/>
      <c r="C116" s="831"/>
      <c r="D116" s="831"/>
      <c r="E116" s="831"/>
      <c r="F116" s="817"/>
      <c r="G116" s="817"/>
      <c r="H116" s="817"/>
      <c r="I116" s="817"/>
      <c r="J116" s="817"/>
      <c r="K116" s="817"/>
      <c r="L116" s="817"/>
      <c r="M116" s="817"/>
      <c r="N116" s="817"/>
      <c r="O116" s="817"/>
      <c r="P116" s="817"/>
      <c r="Q116" s="817"/>
      <c r="R116" s="184">
        <v>70500020108</v>
      </c>
      <c r="S116" s="817"/>
      <c r="T116" s="877"/>
      <c r="U116" s="861"/>
    </row>
    <row r="117" spans="1:21" x14ac:dyDescent="0.3">
      <c r="A117" s="839"/>
      <c r="B117" s="608"/>
      <c r="C117" s="831"/>
      <c r="D117" s="831"/>
      <c r="E117" s="831"/>
      <c r="F117" s="817"/>
      <c r="G117" s="817"/>
      <c r="H117" s="817"/>
      <c r="I117" s="817"/>
      <c r="J117" s="817"/>
      <c r="K117" s="817"/>
      <c r="L117" s="817"/>
      <c r="M117" s="817"/>
      <c r="N117" s="817"/>
      <c r="O117" s="817"/>
      <c r="P117" s="817"/>
      <c r="Q117" s="817"/>
      <c r="R117" s="184">
        <v>70500020136</v>
      </c>
      <c r="S117" s="817"/>
      <c r="T117" s="877"/>
      <c r="U117" s="861"/>
    </row>
    <row r="118" spans="1:21" x14ac:dyDescent="0.3">
      <c r="A118" s="839"/>
      <c r="B118" s="608"/>
      <c r="C118" s="831"/>
      <c r="D118" s="831"/>
      <c r="E118" s="831"/>
      <c r="F118" s="817"/>
      <c r="G118" s="817"/>
      <c r="H118" s="817"/>
      <c r="I118" s="817"/>
      <c r="J118" s="817"/>
      <c r="K118" s="817"/>
      <c r="L118" s="817"/>
      <c r="M118" s="817"/>
      <c r="N118" s="817"/>
      <c r="O118" s="817"/>
      <c r="P118" s="817"/>
      <c r="Q118" s="817"/>
      <c r="R118" s="184" t="s">
        <v>1086</v>
      </c>
      <c r="S118" s="817"/>
      <c r="T118" s="877"/>
      <c r="U118" s="861"/>
    </row>
    <row r="119" spans="1:21" ht="15" thickBot="1" x14ac:dyDescent="0.35">
      <c r="A119" s="841"/>
      <c r="B119" s="609"/>
      <c r="C119" s="832"/>
      <c r="D119" s="832"/>
      <c r="E119" s="832"/>
      <c r="F119" s="818"/>
      <c r="G119" s="818"/>
      <c r="H119" s="818"/>
      <c r="I119" s="818"/>
      <c r="J119" s="818"/>
      <c r="K119" s="818"/>
      <c r="L119" s="818"/>
      <c r="M119" s="818"/>
      <c r="N119" s="818"/>
      <c r="O119" s="818"/>
      <c r="P119" s="818"/>
      <c r="Q119" s="818"/>
      <c r="R119" s="188">
        <v>70500020135</v>
      </c>
      <c r="S119" s="818"/>
      <c r="T119" s="878"/>
      <c r="U119" s="862"/>
    </row>
    <row r="120" spans="1:21" x14ac:dyDescent="0.3">
      <c r="A120" s="838" t="s">
        <v>1087</v>
      </c>
      <c r="B120" s="607" t="s">
        <v>1088</v>
      </c>
      <c r="C120" s="830">
        <v>0</v>
      </c>
      <c r="D120" s="830">
        <v>0.39700000000000002</v>
      </c>
      <c r="E120" s="830">
        <v>0.39700000000000002</v>
      </c>
      <c r="F120" s="816">
        <v>1587</v>
      </c>
      <c r="G120" s="816" t="s">
        <v>32</v>
      </c>
      <c r="H120" s="816"/>
      <c r="I120" s="816"/>
      <c r="J120" s="816"/>
      <c r="K120" s="816"/>
      <c r="L120" s="816"/>
      <c r="M120" s="816"/>
      <c r="N120" s="816"/>
      <c r="O120" s="816"/>
      <c r="P120" s="816"/>
      <c r="Q120" s="816"/>
      <c r="R120" s="181" t="s">
        <v>1089</v>
      </c>
      <c r="S120" s="816"/>
      <c r="T120" s="753" t="s">
        <v>31</v>
      </c>
      <c r="U120" s="182"/>
    </row>
    <row r="121" spans="1:21" x14ac:dyDescent="0.3">
      <c r="A121" s="893"/>
      <c r="B121" s="618"/>
      <c r="C121" s="831"/>
      <c r="D121" s="831"/>
      <c r="E121" s="831"/>
      <c r="F121" s="894"/>
      <c r="G121" s="894"/>
      <c r="H121" s="894"/>
      <c r="I121" s="894"/>
      <c r="J121" s="894"/>
      <c r="K121" s="894"/>
      <c r="L121" s="894"/>
      <c r="M121" s="894"/>
      <c r="N121" s="894"/>
      <c r="O121" s="894"/>
      <c r="P121" s="894"/>
      <c r="Q121" s="894"/>
      <c r="R121" s="239" t="s">
        <v>1090</v>
      </c>
      <c r="S121" s="894"/>
      <c r="T121" s="824"/>
      <c r="U121" s="186"/>
    </row>
    <row r="122" spans="1:21" x14ac:dyDescent="0.3">
      <c r="A122" s="893"/>
      <c r="B122" s="618"/>
      <c r="C122" s="831"/>
      <c r="D122" s="831"/>
      <c r="E122" s="831"/>
      <c r="F122" s="894"/>
      <c r="G122" s="894"/>
      <c r="H122" s="894"/>
      <c r="I122" s="894"/>
      <c r="J122" s="894"/>
      <c r="K122" s="894"/>
      <c r="L122" s="894"/>
      <c r="M122" s="894"/>
      <c r="N122" s="894"/>
      <c r="O122" s="894"/>
      <c r="P122" s="894"/>
      <c r="Q122" s="894"/>
      <c r="R122" s="239" t="s">
        <v>1091</v>
      </c>
      <c r="S122" s="894"/>
      <c r="T122" s="824"/>
      <c r="U122" s="186"/>
    </row>
    <row r="123" spans="1:21" x14ac:dyDescent="0.3">
      <c r="A123" s="839"/>
      <c r="B123" s="608"/>
      <c r="C123" s="831"/>
      <c r="D123" s="831"/>
      <c r="E123" s="831"/>
      <c r="F123" s="817"/>
      <c r="G123" s="817"/>
      <c r="H123" s="817"/>
      <c r="I123" s="817"/>
      <c r="J123" s="817"/>
      <c r="K123" s="817"/>
      <c r="L123" s="817"/>
      <c r="M123" s="817"/>
      <c r="N123" s="817"/>
      <c r="O123" s="817"/>
      <c r="P123" s="817"/>
      <c r="Q123" s="817"/>
      <c r="R123" s="184" t="s">
        <v>1092</v>
      </c>
      <c r="S123" s="817"/>
      <c r="T123" s="824"/>
      <c r="U123" s="186"/>
    </row>
    <row r="124" spans="1:21" x14ac:dyDescent="0.3">
      <c r="A124" s="839"/>
      <c r="B124" s="608"/>
      <c r="C124" s="831"/>
      <c r="D124" s="831"/>
      <c r="E124" s="831"/>
      <c r="F124" s="817"/>
      <c r="G124" s="817"/>
      <c r="H124" s="817"/>
      <c r="I124" s="817"/>
      <c r="J124" s="817"/>
      <c r="K124" s="817"/>
      <c r="L124" s="817"/>
      <c r="M124" s="817"/>
      <c r="N124" s="817"/>
      <c r="O124" s="817"/>
      <c r="P124" s="817"/>
      <c r="Q124" s="817"/>
      <c r="R124" s="184" t="s">
        <v>1093</v>
      </c>
      <c r="S124" s="817"/>
      <c r="T124" s="824"/>
      <c r="U124" s="186"/>
    </row>
    <row r="125" spans="1:21" x14ac:dyDescent="0.3">
      <c r="A125" s="840"/>
      <c r="B125" s="764"/>
      <c r="C125" s="831"/>
      <c r="D125" s="831"/>
      <c r="E125" s="831"/>
      <c r="F125" s="856"/>
      <c r="G125" s="856"/>
      <c r="H125" s="856"/>
      <c r="I125" s="856"/>
      <c r="J125" s="856"/>
      <c r="K125" s="856"/>
      <c r="L125" s="856"/>
      <c r="M125" s="856"/>
      <c r="N125" s="856"/>
      <c r="O125" s="856"/>
      <c r="P125" s="856"/>
      <c r="Q125" s="856"/>
      <c r="R125" s="206" t="s">
        <v>1094</v>
      </c>
      <c r="S125" s="856"/>
      <c r="T125" s="824"/>
      <c r="U125" s="186"/>
    </row>
    <row r="126" spans="1:21" x14ac:dyDescent="0.3">
      <c r="A126" s="840"/>
      <c r="B126" s="764"/>
      <c r="C126" s="831"/>
      <c r="D126" s="831"/>
      <c r="E126" s="831"/>
      <c r="F126" s="856"/>
      <c r="G126" s="856"/>
      <c r="H126" s="856"/>
      <c r="I126" s="856"/>
      <c r="J126" s="856"/>
      <c r="K126" s="856"/>
      <c r="L126" s="856"/>
      <c r="M126" s="856"/>
      <c r="N126" s="856"/>
      <c r="O126" s="856"/>
      <c r="P126" s="856"/>
      <c r="Q126" s="856"/>
      <c r="R126" s="206">
        <v>70500050355</v>
      </c>
      <c r="S126" s="856"/>
      <c r="T126" s="824"/>
      <c r="U126" s="186"/>
    </row>
    <row r="127" spans="1:21" ht="15" thickBot="1" x14ac:dyDescent="0.35">
      <c r="A127" s="841"/>
      <c r="B127" s="609"/>
      <c r="C127" s="832"/>
      <c r="D127" s="832"/>
      <c r="E127" s="832"/>
      <c r="F127" s="818"/>
      <c r="G127" s="818"/>
      <c r="H127" s="818"/>
      <c r="I127" s="818"/>
      <c r="J127" s="818"/>
      <c r="K127" s="818"/>
      <c r="L127" s="818"/>
      <c r="M127" s="818"/>
      <c r="N127" s="818"/>
      <c r="O127" s="818"/>
      <c r="P127" s="818"/>
      <c r="Q127" s="818"/>
      <c r="R127" s="188" t="s">
        <v>1095</v>
      </c>
      <c r="S127" s="818"/>
      <c r="T127" s="754"/>
      <c r="U127" s="189"/>
    </row>
    <row r="128" spans="1:21" x14ac:dyDescent="0.3">
      <c r="A128" s="838" t="s">
        <v>1096</v>
      </c>
      <c r="B128" s="607" t="s">
        <v>1097</v>
      </c>
      <c r="C128" s="830">
        <v>0</v>
      </c>
      <c r="D128" s="830">
        <v>1.0620000000000001</v>
      </c>
      <c r="E128" s="830">
        <v>1.0620000000000001</v>
      </c>
      <c r="F128" s="816">
        <v>4251</v>
      </c>
      <c r="G128" s="816" t="s">
        <v>32</v>
      </c>
      <c r="H128" s="816"/>
      <c r="I128" s="816"/>
      <c r="J128" s="816"/>
      <c r="K128" s="816"/>
      <c r="L128" s="816"/>
      <c r="M128" s="816"/>
      <c r="N128" s="816"/>
      <c r="O128" s="816"/>
      <c r="P128" s="816"/>
      <c r="Q128" s="816"/>
      <c r="R128" s="181" t="s">
        <v>1098</v>
      </c>
      <c r="S128" s="816"/>
      <c r="T128" s="876" t="s">
        <v>31</v>
      </c>
      <c r="U128" s="182"/>
    </row>
    <row r="129" spans="1:21" x14ac:dyDescent="0.3">
      <c r="A129" s="839"/>
      <c r="B129" s="608"/>
      <c r="C129" s="831"/>
      <c r="D129" s="831"/>
      <c r="E129" s="831"/>
      <c r="F129" s="817"/>
      <c r="G129" s="817"/>
      <c r="H129" s="817"/>
      <c r="I129" s="817"/>
      <c r="J129" s="817"/>
      <c r="K129" s="817"/>
      <c r="L129" s="817"/>
      <c r="M129" s="817"/>
      <c r="N129" s="817"/>
      <c r="O129" s="817"/>
      <c r="P129" s="817"/>
      <c r="Q129" s="817"/>
      <c r="R129" s="184" t="s">
        <v>981</v>
      </c>
      <c r="S129" s="817"/>
      <c r="T129" s="877"/>
      <c r="U129" s="186"/>
    </row>
    <row r="130" spans="1:21" x14ac:dyDescent="0.3">
      <c r="A130" s="839"/>
      <c r="B130" s="608"/>
      <c r="C130" s="831"/>
      <c r="D130" s="831"/>
      <c r="E130" s="831"/>
      <c r="F130" s="817"/>
      <c r="G130" s="817"/>
      <c r="H130" s="817"/>
      <c r="I130" s="817"/>
      <c r="J130" s="817"/>
      <c r="K130" s="817"/>
      <c r="L130" s="817"/>
      <c r="M130" s="817"/>
      <c r="N130" s="817"/>
      <c r="O130" s="817"/>
      <c r="P130" s="817"/>
      <c r="Q130" s="817"/>
      <c r="R130" s="184" t="s">
        <v>1099</v>
      </c>
      <c r="S130" s="817"/>
      <c r="T130" s="877"/>
      <c r="U130" s="186"/>
    </row>
    <row r="131" spans="1:21" x14ac:dyDescent="0.3">
      <c r="A131" s="839"/>
      <c r="B131" s="608"/>
      <c r="C131" s="831"/>
      <c r="D131" s="831"/>
      <c r="E131" s="831"/>
      <c r="F131" s="817"/>
      <c r="G131" s="817"/>
      <c r="H131" s="817"/>
      <c r="I131" s="817"/>
      <c r="J131" s="817"/>
      <c r="K131" s="817"/>
      <c r="L131" s="817"/>
      <c r="M131" s="817"/>
      <c r="N131" s="817"/>
      <c r="O131" s="817"/>
      <c r="P131" s="817"/>
      <c r="Q131" s="817"/>
      <c r="R131" s="184" t="s">
        <v>1100</v>
      </c>
      <c r="S131" s="817"/>
      <c r="T131" s="877"/>
      <c r="U131" s="186"/>
    </row>
    <row r="132" spans="1:21" ht="15" thickBot="1" x14ac:dyDescent="0.35">
      <c r="A132" s="841"/>
      <c r="B132" s="609"/>
      <c r="C132" s="832"/>
      <c r="D132" s="832"/>
      <c r="E132" s="832"/>
      <c r="F132" s="818"/>
      <c r="G132" s="818"/>
      <c r="H132" s="818"/>
      <c r="I132" s="818"/>
      <c r="J132" s="818"/>
      <c r="K132" s="818"/>
      <c r="L132" s="818"/>
      <c r="M132" s="818"/>
      <c r="N132" s="818"/>
      <c r="O132" s="818"/>
      <c r="P132" s="818"/>
      <c r="Q132" s="818"/>
      <c r="R132" s="188" t="s">
        <v>1101</v>
      </c>
      <c r="S132" s="818"/>
      <c r="T132" s="878"/>
      <c r="U132" s="189"/>
    </row>
    <row r="133" spans="1:21" x14ac:dyDescent="0.3">
      <c r="A133" s="838" t="s">
        <v>1102</v>
      </c>
      <c r="B133" s="607" t="s">
        <v>1103</v>
      </c>
      <c r="C133" s="180">
        <v>0</v>
      </c>
      <c r="D133" s="180">
        <v>0.26500000000000001</v>
      </c>
      <c r="E133" s="830">
        <v>1.6419999999999999</v>
      </c>
      <c r="F133" s="816">
        <v>6569</v>
      </c>
      <c r="G133" s="816" t="s">
        <v>32</v>
      </c>
      <c r="H133" s="833"/>
      <c r="I133" s="816"/>
      <c r="J133" s="816"/>
      <c r="K133" s="816"/>
      <c r="L133" s="816"/>
      <c r="M133" s="816"/>
      <c r="N133" s="816"/>
      <c r="O133" s="816"/>
      <c r="P133" s="816"/>
      <c r="Q133" s="816"/>
      <c r="R133" s="181" t="s">
        <v>1104</v>
      </c>
      <c r="S133" s="816"/>
      <c r="T133" s="876" t="s">
        <v>31</v>
      </c>
      <c r="U133" s="182"/>
    </row>
    <row r="134" spans="1:21" x14ac:dyDescent="0.3">
      <c r="A134" s="839"/>
      <c r="B134" s="608"/>
      <c r="C134" s="183">
        <v>0.26500000000000001</v>
      </c>
      <c r="D134" s="183">
        <v>0.48199999999999998</v>
      </c>
      <c r="E134" s="831"/>
      <c r="F134" s="817"/>
      <c r="G134" s="817"/>
      <c r="H134" s="834"/>
      <c r="I134" s="817"/>
      <c r="J134" s="817"/>
      <c r="K134" s="817"/>
      <c r="L134" s="817"/>
      <c r="M134" s="817"/>
      <c r="N134" s="817"/>
      <c r="O134" s="817"/>
      <c r="P134" s="817"/>
      <c r="Q134" s="817"/>
      <c r="R134" s="184">
        <v>70500040166</v>
      </c>
      <c r="S134" s="817"/>
      <c r="T134" s="877"/>
      <c r="U134" s="186"/>
    </row>
    <row r="135" spans="1:21" x14ac:dyDescent="0.3">
      <c r="A135" s="839"/>
      <c r="B135" s="608"/>
      <c r="C135" s="183">
        <v>0.48199999999999998</v>
      </c>
      <c r="D135" s="183">
        <v>0.83</v>
      </c>
      <c r="E135" s="831"/>
      <c r="F135" s="817"/>
      <c r="G135" s="817"/>
      <c r="H135" s="834"/>
      <c r="I135" s="817"/>
      <c r="J135" s="817"/>
      <c r="K135" s="817"/>
      <c r="L135" s="817"/>
      <c r="M135" s="817"/>
      <c r="N135" s="817"/>
      <c r="O135" s="817"/>
      <c r="P135" s="817"/>
      <c r="Q135" s="817"/>
      <c r="R135" s="184" t="s">
        <v>1105</v>
      </c>
      <c r="S135" s="817"/>
      <c r="T135" s="877"/>
      <c r="U135" s="186"/>
    </row>
    <row r="136" spans="1:21" x14ac:dyDescent="0.3">
      <c r="A136" s="839"/>
      <c r="B136" s="608"/>
      <c r="C136" s="183">
        <v>0.83</v>
      </c>
      <c r="D136" s="183">
        <v>0.92400000000000004</v>
      </c>
      <c r="E136" s="831"/>
      <c r="F136" s="817"/>
      <c r="G136" s="817"/>
      <c r="H136" s="834"/>
      <c r="I136" s="817"/>
      <c r="J136" s="817"/>
      <c r="K136" s="817"/>
      <c r="L136" s="817"/>
      <c r="M136" s="817"/>
      <c r="N136" s="817"/>
      <c r="O136" s="817"/>
      <c r="P136" s="817"/>
      <c r="Q136" s="817"/>
      <c r="R136" s="184" t="s">
        <v>1106</v>
      </c>
      <c r="S136" s="817"/>
      <c r="T136" s="877"/>
      <c r="U136" s="186"/>
    </row>
    <row r="137" spans="1:21" ht="15" thickBot="1" x14ac:dyDescent="0.35">
      <c r="A137" s="841"/>
      <c r="B137" s="609"/>
      <c r="C137" s="187">
        <v>0.92400000000000004</v>
      </c>
      <c r="D137" s="187">
        <v>1.6419999999999999</v>
      </c>
      <c r="E137" s="832"/>
      <c r="F137" s="818"/>
      <c r="G137" s="818"/>
      <c r="H137" s="835"/>
      <c r="I137" s="818"/>
      <c r="J137" s="818"/>
      <c r="K137" s="818"/>
      <c r="L137" s="818"/>
      <c r="M137" s="818"/>
      <c r="N137" s="818"/>
      <c r="O137" s="818"/>
      <c r="P137" s="818"/>
      <c r="Q137" s="818"/>
      <c r="R137" s="188">
        <v>70500040167</v>
      </c>
      <c r="S137" s="818"/>
      <c r="T137" s="878"/>
      <c r="U137" s="189"/>
    </row>
    <row r="138" spans="1:21" ht="24.6" thickBot="1" x14ac:dyDescent="0.35">
      <c r="A138" s="202" t="s">
        <v>1107</v>
      </c>
      <c r="B138" s="23" t="s">
        <v>1108</v>
      </c>
      <c r="C138" s="238">
        <v>0</v>
      </c>
      <c r="D138" s="238">
        <v>0.27700000000000002</v>
      </c>
      <c r="E138" s="238">
        <v>0.27700000000000002</v>
      </c>
      <c r="F138" s="77">
        <v>1109</v>
      </c>
      <c r="G138" s="169" t="s">
        <v>978</v>
      </c>
      <c r="H138" s="169"/>
      <c r="I138" s="169"/>
      <c r="J138" s="169"/>
      <c r="K138" s="169"/>
      <c r="L138" s="169"/>
      <c r="M138" s="169"/>
      <c r="N138" s="169"/>
      <c r="O138" s="169"/>
      <c r="P138" s="169"/>
      <c r="Q138" s="169"/>
      <c r="R138" s="169">
        <v>70500040139</v>
      </c>
      <c r="S138" s="169"/>
      <c r="T138" s="111" t="s">
        <v>31</v>
      </c>
      <c r="U138" s="177"/>
    </row>
    <row r="139" spans="1:21" x14ac:dyDescent="0.3">
      <c r="A139" s="863" t="s">
        <v>1109</v>
      </c>
      <c r="B139" s="651" t="s">
        <v>1110</v>
      </c>
      <c r="C139" s="866">
        <v>0</v>
      </c>
      <c r="D139" s="866">
        <v>1.2110000000000001</v>
      </c>
      <c r="E139" s="866">
        <v>1.2110000000000001</v>
      </c>
      <c r="F139" s="872">
        <v>4846</v>
      </c>
      <c r="G139" s="872" t="s">
        <v>32</v>
      </c>
      <c r="H139" s="181"/>
      <c r="I139" s="181"/>
      <c r="J139" s="181"/>
      <c r="K139" s="181"/>
      <c r="L139" s="181"/>
      <c r="M139" s="181"/>
      <c r="N139" s="181"/>
      <c r="O139" s="181"/>
      <c r="P139" s="181"/>
      <c r="Q139" s="181"/>
      <c r="R139" s="181">
        <v>70500030129</v>
      </c>
      <c r="S139" s="181"/>
      <c r="T139" s="753" t="s">
        <v>31</v>
      </c>
      <c r="U139" s="182"/>
    </row>
    <row r="140" spans="1:21" x14ac:dyDescent="0.3">
      <c r="A140" s="864"/>
      <c r="B140" s="711"/>
      <c r="C140" s="867"/>
      <c r="D140" s="867"/>
      <c r="E140" s="867"/>
      <c r="F140" s="873"/>
      <c r="G140" s="873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 t="s">
        <v>1111</v>
      </c>
      <c r="S140" s="239"/>
      <c r="T140" s="824"/>
      <c r="U140" s="186"/>
    </row>
    <row r="141" spans="1:21" x14ac:dyDescent="0.3">
      <c r="A141" s="864"/>
      <c r="B141" s="711"/>
      <c r="C141" s="867"/>
      <c r="D141" s="867"/>
      <c r="E141" s="867"/>
      <c r="F141" s="873"/>
      <c r="G141" s="873"/>
      <c r="H141" s="239"/>
      <c r="I141" s="239"/>
      <c r="J141" s="239"/>
      <c r="K141" s="239"/>
      <c r="L141" s="239"/>
      <c r="M141" s="239"/>
      <c r="N141" s="239"/>
      <c r="O141" s="239"/>
      <c r="P141" s="239"/>
      <c r="Q141" s="239"/>
      <c r="R141" s="239" t="s">
        <v>1112</v>
      </c>
      <c r="S141" s="239"/>
      <c r="T141" s="824"/>
      <c r="U141" s="186"/>
    </row>
    <row r="142" spans="1:21" ht="15" thickBot="1" x14ac:dyDescent="0.35">
      <c r="A142" s="865"/>
      <c r="B142" s="652"/>
      <c r="C142" s="868"/>
      <c r="D142" s="868"/>
      <c r="E142" s="868"/>
      <c r="F142" s="874"/>
      <c r="G142" s="874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 t="s">
        <v>1113</v>
      </c>
      <c r="S142" s="225"/>
      <c r="T142" s="754"/>
      <c r="U142" s="189"/>
    </row>
    <row r="143" spans="1:21" x14ac:dyDescent="0.3">
      <c r="A143" s="838" t="s">
        <v>1114</v>
      </c>
      <c r="B143" s="607" t="s">
        <v>1115</v>
      </c>
      <c r="C143" s="220">
        <v>0</v>
      </c>
      <c r="D143" s="220">
        <v>0.51</v>
      </c>
      <c r="E143" s="866">
        <v>0.79300000000000004</v>
      </c>
      <c r="F143" s="885">
        <v>3174</v>
      </c>
      <c r="G143" s="885" t="s">
        <v>32</v>
      </c>
      <c r="H143" s="816"/>
      <c r="I143" s="816"/>
      <c r="J143" s="816"/>
      <c r="K143" s="816"/>
      <c r="L143" s="816"/>
      <c r="M143" s="816"/>
      <c r="N143" s="816"/>
      <c r="O143" s="816"/>
      <c r="P143" s="816"/>
      <c r="Q143" s="816"/>
      <c r="R143" s="181">
        <v>70500080127</v>
      </c>
      <c r="S143" s="816"/>
      <c r="T143" s="746" t="s">
        <v>31</v>
      </c>
      <c r="U143" s="182"/>
    </row>
    <row r="144" spans="1:21" ht="15" thickBot="1" x14ac:dyDescent="0.35">
      <c r="A144" s="841"/>
      <c r="B144" s="609"/>
      <c r="C144" s="224">
        <v>0.51</v>
      </c>
      <c r="D144" s="223">
        <v>0.79300000000000004</v>
      </c>
      <c r="E144" s="868"/>
      <c r="F144" s="889"/>
      <c r="G144" s="889"/>
      <c r="H144" s="818"/>
      <c r="I144" s="818"/>
      <c r="J144" s="818"/>
      <c r="K144" s="818"/>
      <c r="L144" s="818"/>
      <c r="M144" s="818"/>
      <c r="N144" s="818"/>
      <c r="O144" s="818"/>
      <c r="P144" s="818"/>
      <c r="Q144" s="818"/>
      <c r="R144" s="188">
        <v>70500080129</v>
      </c>
      <c r="S144" s="818"/>
      <c r="T144" s="747"/>
      <c r="U144" s="189"/>
    </row>
    <row r="145" spans="1:32" x14ac:dyDescent="0.3">
      <c r="A145" s="838" t="s">
        <v>1116</v>
      </c>
      <c r="B145" s="607" t="s">
        <v>1117</v>
      </c>
      <c r="C145" s="220">
        <v>0</v>
      </c>
      <c r="D145" s="220">
        <v>0.22500000000000001</v>
      </c>
      <c r="E145" s="866">
        <v>0.38300000000000001</v>
      </c>
      <c r="F145" s="885">
        <v>1532</v>
      </c>
      <c r="G145" s="885" t="s">
        <v>978</v>
      </c>
      <c r="H145" s="816"/>
      <c r="I145" s="816"/>
      <c r="J145" s="816"/>
      <c r="K145" s="816"/>
      <c r="L145" s="816"/>
      <c r="M145" s="816"/>
      <c r="N145" s="816"/>
      <c r="O145" s="816"/>
      <c r="P145" s="816"/>
      <c r="Q145" s="816"/>
      <c r="R145" s="181">
        <v>70500040084</v>
      </c>
      <c r="S145" s="816"/>
      <c r="T145" s="753" t="s">
        <v>31</v>
      </c>
      <c r="U145" s="182"/>
    </row>
    <row r="146" spans="1:32" ht="15" thickBot="1" x14ac:dyDescent="0.35">
      <c r="A146" s="841"/>
      <c r="B146" s="609"/>
      <c r="C146" s="223">
        <v>0.22500000000000001</v>
      </c>
      <c r="D146" s="223">
        <v>0.38300000000000001</v>
      </c>
      <c r="E146" s="868"/>
      <c r="F146" s="889"/>
      <c r="G146" s="889"/>
      <c r="H146" s="818"/>
      <c r="I146" s="818"/>
      <c r="J146" s="818"/>
      <c r="K146" s="818"/>
      <c r="L146" s="818"/>
      <c r="M146" s="818"/>
      <c r="N146" s="818"/>
      <c r="O146" s="818"/>
      <c r="P146" s="818"/>
      <c r="Q146" s="818"/>
      <c r="R146" s="188" t="s">
        <v>1118</v>
      </c>
      <c r="S146" s="818"/>
      <c r="T146" s="754"/>
      <c r="U146" s="189"/>
    </row>
    <row r="148" spans="1:32" ht="24.6" x14ac:dyDescent="0.3">
      <c r="B148" s="61" t="s">
        <v>202</v>
      </c>
    </row>
    <row r="149" spans="1:32" ht="24.6" x14ac:dyDescent="0.3">
      <c r="B149" s="61" t="s">
        <v>203</v>
      </c>
    </row>
    <row r="150" spans="1:32" ht="24.6" x14ac:dyDescent="0.3">
      <c r="B150" s="61" t="s">
        <v>204</v>
      </c>
    </row>
    <row r="151" spans="1:32" ht="24.6" x14ac:dyDescent="0.3">
      <c r="B151" s="61" t="s">
        <v>205</v>
      </c>
    </row>
    <row r="153" spans="1:32" s="59" customFormat="1" ht="27.6" customHeight="1" x14ac:dyDescent="0.25">
      <c r="A153" s="509"/>
      <c r="B153" s="509"/>
      <c r="C153" s="512" t="s">
        <v>3985</v>
      </c>
      <c r="D153" s="543" t="s">
        <v>3986</v>
      </c>
      <c r="E153" s="543"/>
      <c r="F153" s="543"/>
      <c r="G153" s="509"/>
      <c r="H153" s="509"/>
      <c r="I153" s="509"/>
      <c r="J153" s="509"/>
      <c r="K153" s="509"/>
      <c r="L153" s="509"/>
      <c r="M153" s="509"/>
      <c r="N153" s="509"/>
      <c r="O153" s="509"/>
      <c r="P153" s="509"/>
      <c r="Q153" s="509"/>
      <c r="R153" s="509"/>
      <c r="S153" s="509"/>
      <c r="T153" s="509"/>
      <c r="U153" s="509"/>
      <c r="V153" s="509"/>
      <c r="W153" s="509"/>
      <c r="X153" s="509"/>
      <c r="Y153" s="509"/>
      <c r="Z153" s="509"/>
      <c r="AA153" s="509"/>
      <c r="AB153" s="509"/>
      <c r="AC153" s="509"/>
      <c r="AD153" s="509"/>
      <c r="AE153" s="510"/>
      <c r="AF153" s="510"/>
    </row>
    <row r="154" spans="1:32" s="59" customFormat="1" ht="13.8" x14ac:dyDescent="0.25">
      <c r="A154" s="509"/>
      <c r="B154" s="509"/>
      <c r="C154" s="509"/>
      <c r="D154" s="509"/>
      <c r="E154" s="509"/>
      <c r="F154" s="509"/>
      <c r="G154" s="509"/>
      <c r="H154" s="509"/>
      <c r="I154" s="509"/>
      <c r="J154" s="509"/>
      <c r="K154" s="509"/>
      <c r="L154" s="509"/>
      <c r="M154" s="509"/>
      <c r="N154" s="509"/>
      <c r="O154" s="509"/>
      <c r="P154" s="509"/>
      <c r="Q154" s="509"/>
      <c r="R154" s="509"/>
      <c r="S154" s="509"/>
      <c r="T154" s="509"/>
      <c r="U154" s="509"/>
      <c r="V154" s="509"/>
      <c r="W154" s="509"/>
      <c r="X154" s="509"/>
      <c r="Y154" s="509"/>
      <c r="Z154" s="509"/>
      <c r="AA154" s="509"/>
      <c r="AB154" s="509"/>
      <c r="AC154" s="509"/>
      <c r="AD154" s="509"/>
      <c r="AE154" s="510"/>
      <c r="AF154" s="510"/>
    </row>
    <row r="155" spans="1:32" s="59" customFormat="1" ht="13.8" x14ac:dyDescent="0.25">
      <c r="A155" s="509"/>
      <c r="B155" s="509"/>
      <c r="C155" s="509"/>
      <c r="D155" s="509"/>
      <c r="E155" s="509"/>
      <c r="F155" s="509"/>
      <c r="G155" s="509"/>
      <c r="H155" s="509"/>
      <c r="I155" s="509"/>
      <c r="J155" s="509"/>
      <c r="K155" s="509"/>
      <c r="L155" s="509"/>
      <c r="M155" s="509"/>
      <c r="N155" s="509"/>
      <c r="O155" s="509"/>
      <c r="P155" s="509"/>
      <c r="Q155" s="509"/>
      <c r="R155" s="509"/>
      <c r="S155" s="509"/>
      <c r="T155" s="509"/>
      <c r="U155" s="509"/>
      <c r="V155" s="509"/>
      <c r="W155" s="509"/>
      <c r="X155" s="509"/>
      <c r="Y155" s="509"/>
      <c r="Z155" s="509"/>
      <c r="AA155" s="509"/>
      <c r="AB155" s="509"/>
      <c r="AC155" s="509"/>
      <c r="AD155" s="509"/>
      <c r="AE155" s="417"/>
      <c r="AF155" s="510"/>
    </row>
    <row r="156" spans="1:32" s="59" customFormat="1" ht="13.8" x14ac:dyDescent="0.25">
      <c r="B156" s="60"/>
      <c r="C156" s="438" t="s">
        <v>3989</v>
      </c>
      <c r="D156" s="544" t="s">
        <v>3990</v>
      </c>
      <c r="E156" s="544"/>
      <c r="F156" s="544"/>
      <c r="G156" s="544"/>
      <c r="H156" s="544"/>
      <c r="I156" s="544"/>
      <c r="T156" s="60"/>
      <c r="U156" s="60"/>
    </row>
    <row r="157" spans="1:32" s="59" customFormat="1" ht="13.95" customHeight="1" x14ac:dyDescent="0.25">
      <c r="B157" s="60"/>
      <c r="C157" s="438" t="s">
        <v>3987</v>
      </c>
      <c r="D157" s="553" t="s">
        <v>3988</v>
      </c>
      <c r="E157" s="553"/>
      <c r="F157" s="553"/>
      <c r="G157" s="553"/>
      <c r="H157" s="553"/>
      <c r="I157" s="553"/>
      <c r="T157" s="60"/>
      <c r="U157" s="60"/>
    </row>
    <row r="158" spans="1:32" s="59" customFormat="1" ht="14.4" customHeight="1" x14ac:dyDescent="0.25">
      <c r="T158" s="60"/>
      <c r="U158" s="60"/>
    </row>
    <row r="159" spans="1:32" s="59" customFormat="1" ht="13.8" x14ac:dyDescent="0.25">
      <c r="A159" s="469"/>
      <c r="B159" s="743" t="s">
        <v>3984</v>
      </c>
      <c r="C159" s="743"/>
      <c r="D159" s="743"/>
      <c r="E159" s="743"/>
      <c r="F159" s="743"/>
      <c r="G159" s="743"/>
      <c r="H159" s="743"/>
      <c r="I159" s="743"/>
      <c r="T159" s="304"/>
      <c r="U159" s="304"/>
    </row>
  </sheetData>
  <mergeCells count="402">
    <mergeCell ref="A1:U1"/>
    <mergeCell ref="U42:U53"/>
    <mergeCell ref="P145:P146"/>
    <mergeCell ref="Q145:Q146"/>
    <mergeCell ref="S145:S146"/>
    <mergeCell ref="T145:T146"/>
    <mergeCell ref="H145:H146"/>
    <mergeCell ref="I145:I146"/>
    <mergeCell ref="J145:J146"/>
    <mergeCell ref="K145:K146"/>
    <mergeCell ref="L145:L146"/>
    <mergeCell ref="M145:M146"/>
    <mergeCell ref="O143:O144"/>
    <mergeCell ref="P143:P144"/>
    <mergeCell ref="Q143:Q144"/>
    <mergeCell ref="S143:S144"/>
    <mergeCell ref="T143:T144"/>
    <mergeCell ref="A145:A146"/>
    <mergeCell ref="B145:B146"/>
    <mergeCell ref="E145:E146"/>
    <mergeCell ref="F145:F146"/>
    <mergeCell ref="G145:G146"/>
    <mergeCell ref="I143:I144"/>
    <mergeCell ref="J143:J144"/>
    <mergeCell ref="K143:K144"/>
    <mergeCell ref="L143:L144"/>
    <mergeCell ref="M143:M144"/>
    <mergeCell ref="N143:N144"/>
    <mergeCell ref="A143:A144"/>
    <mergeCell ref="B143:B144"/>
    <mergeCell ref="E143:E144"/>
    <mergeCell ref="F143:F144"/>
    <mergeCell ref="G143:G144"/>
    <mergeCell ref="H143:H144"/>
    <mergeCell ref="N145:N146"/>
    <mergeCell ref="O145:O146"/>
    <mergeCell ref="A128:A132"/>
    <mergeCell ref="B128:B132"/>
    <mergeCell ref="S133:S137"/>
    <mergeCell ref="T133:T137"/>
    <mergeCell ref="A139:A142"/>
    <mergeCell ref="B139:B142"/>
    <mergeCell ref="C139:C142"/>
    <mergeCell ref="D139:D142"/>
    <mergeCell ref="E139:E142"/>
    <mergeCell ref="F139:F142"/>
    <mergeCell ref="G139:G142"/>
    <mergeCell ref="T139:T142"/>
    <mergeCell ref="L133:L137"/>
    <mergeCell ref="M133:M137"/>
    <mergeCell ref="N133:N137"/>
    <mergeCell ref="O133:O137"/>
    <mergeCell ref="P133:P137"/>
    <mergeCell ref="Q133:Q137"/>
    <mergeCell ref="A133:A137"/>
    <mergeCell ref="B133:B137"/>
    <mergeCell ref="E133:E137"/>
    <mergeCell ref="F133:F137"/>
    <mergeCell ref="G133:G137"/>
    <mergeCell ref="H133:H137"/>
    <mergeCell ref="I133:I137"/>
    <mergeCell ref="J133:J137"/>
    <mergeCell ref="K133:K137"/>
    <mergeCell ref="K120:K127"/>
    <mergeCell ref="L120:L127"/>
    <mergeCell ref="M120:M127"/>
    <mergeCell ref="J128:J132"/>
    <mergeCell ref="K128:K132"/>
    <mergeCell ref="L128:L132"/>
    <mergeCell ref="T128:T132"/>
    <mergeCell ref="M128:M132"/>
    <mergeCell ref="N128:N132"/>
    <mergeCell ref="O128:O132"/>
    <mergeCell ref="P128:P132"/>
    <mergeCell ref="Q128:Q132"/>
    <mergeCell ref="S128:S132"/>
    <mergeCell ref="G128:G132"/>
    <mergeCell ref="H128:H132"/>
    <mergeCell ref="I128:I132"/>
    <mergeCell ref="C128:C132"/>
    <mergeCell ref="D128:D132"/>
    <mergeCell ref="E128:E132"/>
    <mergeCell ref="F128:F132"/>
    <mergeCell ref="N120:N127"/>
    <mergeCell ref="O120:O127"/>
    <mergeCell ref="P120:P127"/>
    <mergeCell ref="Q120:Q127"/>
    <mergeCell ref="S120:S127"/>
    <mergeCell ref="U113:U119"/>
    <mergeCell ref="A120:A127"/>
    <mergeCell ref="B120:B127"/>
    <mergeCell ref="C120:C127"/>
    <mergeCell ref="D120:D127"/>
    <mergeCell ref="E120:E127"/>
    <mergeCell ref="F120:F127"/>
    <mergeCell ref="G120:G127"/>
    <mergeCell ref="L113:L119"/>
    <mergeCell ref="M113:M119"/>
    <mergeCell ref="N113:N119"/>
    <mergeCell ref="O113:O119"/>
    <mergeCell ref="P113:P119"/>
    <mergeCell ref="Q113:Q119"/>
    <mergeCell ref="F113:F119"/>
    <mergeCell ref="G113:G119"/>
    <mergeCell ref="H113:H119"/>
    <mergeCell ref="I113:I119"/>
    <mergeCell ref="J113:J119"/>
    <mergeCell ref="K113:K119"/>
    <mergeCell ref="T120:T127"/>
    <mergeCell ref="H120:H127"/>
    <mergeCell ref="I120:I127"/>
    <mergeCell ref="J120:J127"/>
    <mergeCell ref="O108:O109"/>
    <mergeCell ref="P108:P109"/>
    <mergeCell ref="Q108:Q109"/>
    <mergeCell ref="S108:S109"/>
    <mergeCell ref="T108:T109"/>
    <mergeCell ref="A113:A119"/>
    <mergeCell ref="B113:B119"/>
    <mergeCell ref="C113:C119"/>
    <mergeCell ref="D113:D119"/>
    <mergeCell ref="E113:E119"/>
    <mergeCell ref="I108:I109"/>
    <mergeCell ref="J108:J109"/>
    <mergeCell ref="K108:K109"/>
    <mergeCell ref="L108:L109"/>
    <mergeCell ref="M108:M109"/>
    <mergeCell ref="N108:N109"/>
    <mergeCell ref="A108:A109"/>
    <mergeCell ref="B108:B109"/>
    <mergeCell ref="E108:E109"/>
    <mergeCell ref="F108:F109"/>
    <mergeCell ref="G108:G109"/>
    <mergeCell ref="H108:H109"/>
    <mergeCell ref="S113:S119"/>
    <mergeCell ref="T113:T119"/>
    <mergeCell ref="A99:A107"/>
    <mergeCell ref="B99:B107"/>
    <mergeCell ref="C99:C107"/>
    <mergeCell ref="D99:D107"/>
    <mergeCell ref="E99:E107"/>
    <mergeCell ref="F99:F107"/>
    <mergeCell ref="G99:G107"/>
    <mergeCell ref="T99:T107"/>
    <mergeCell ref="U99:U107"/>
    <mergeCell ref="N82:N85"/>
    <mergeCell ref="F86:F90"/>
    <mergeCell ref="G86:G90"/>
    <mergeCell ref="S86:S87"/>
    <mergeCell ref="T86:T90"/>
    <mergeCell ref="U86:U90"/>
    <mergeCell ref="A91:A98"/>
    <mergeCell ref="B91:B98"/>
    <mergeCell ref="E91:E98"/>
    <mergeCell ref="F91:F98"/>
    <mergeCell ref="G91:G98"/>
    <mergeCell ref="U91:U98"/>
    <mergeCell ref="N91:N98"/>
    <mergeCell ref="O91:O98"/>
    <mergeCell ref="P91:P98"/>
    <mergeCell ref="Q91:Q98"/>
    <mergeCell ref="S91:S98"/>
    <mergeCell ref="T91:T98"/>
    <mergeCell ref="H91:H98"/>
    <mergeCell ref="I91:I98"/>
    <mergeCell ref="J91:J98"/>
    <mergeCell ref="K91:K98"/>
    <mergeCell ref="L91:L98"/>
    <mergeCell ref="M91:M98"/>
    <mergeCell ref="A86:A90"/>
    <mergeCell ref="B86:B90"/>
    <mergeCell ref="C86:C90"/>
    <mergeCell ref="D86:D90"/>
    <mergeCell ref="E86:E90"/>
    <mergeCell ref="I82:I85"/>
    <mergeCell ref="J82:J85"/>
    <mergeCell ref="K82:K85"/>
    <mergeCell ref="L82:L85"/>
    <mergeCell ref="K65:K71"/>
    <mergeCell ref="L65:L71"/>
    <mergeCell ref="S72:S75"/>
    <mergeCell ref="T72:T79"/>
    <mergeCell ref="A82:A85"/>
    <mergeCell ref="B82:B85"/>
    <mergeCell ref="C82:C85"/>
    <mergeCell ref="D82:D85"/>
    <mergeCell ref="E82:E85"/>
    <mergeCell ref="F82:F85"/>
    <mergeCell ref="G82:G85"/>
    <mergeCell ref="H82:H85"/>
    <mergeCell ref="L72:L75"/>
    <mergeCell ref="M72:M75"/>
    <mergeCell ref="N72:N75"/>
    <mergeCell ref="O72:O75"/>
    <mergeCell ref="P72:P75"/>
    <mergeCell ref="Q72:Q75"/>
    <mergeCell ref="O82:O85"/>
    <mergeCell ref="P82:P85"/>
    <mergeCell ref="Q82:Q85"/>
    <mergeCell ref="S82:S85"/>
    <mergeCell ref="T82:T85"/>
    <mergeCell ref="M82:M85"/>
    <mergeCell ref="A72:A79"/>
    <mergeCell ref="B72:B79"/>
    <mergeCell ref="E72:E79"/>
    <mergeCell ref="F72:F79"/>
    <mergeCell ref="G72:G79"/>
    <mergeCell ref="H72:H75"/>
    <mergeCell ref="I72:I75"/>
    <mergeCell ref="J72:J75"/>
    <mergeCell ref="K72:K75"/>
    <mergeCell ref="U62:U64"/>
    <mergeCell ref="A65:A71"/>
    <mergeCell ref="B65:B71"/>
    <mergeCell ref="C65:C71"/>
    <mergeCell ref="D65:D71"/>
    <mergeCell ref="E65:E71"/>
    <mergeCell ref="F65:F71"/>
    <mergeCell ref="K62:K64"/>
    <mergeCell ref="L62:L64"/>
    <mergeCell ref="M62:M64"/>
    <mergeCell ref="N62:N64"/>
    <mergeCell ref="O62:O64"/>
    <mergeCell ref="P62:P64"/>
    <mergeCell ref="T65:T71"/>
    <mergeCell ref="M65:M71"/>
    <mergeCell ref="N65:N71"/>
    <mergeCell ref="O65:O71"/>
    <mergeCell ref="P65:P71"/>
    <mergeCell ref="Q65:Q71"/>
    <mergeCell ref="S65:S71"/>
    <mergeCell ref="G65:G71"/>
    <mergeCell ref="H65:H71"/>
    <mergeCell ref="I65:I71"/>
    <mergeCell ref="J65:J71"/>
    <mergeCell ref="A42:A53"/>
    <mergeCell ref="B42:B53"/>
    <mergeCell ref="S55:S60"/>
    <mergeCell ref="T55:T60"/>
    <mergeCell ref="A62:A64"/>
    <mergeCell ref="B62:B64"/>
    <mergeCell ref="E62:E64"/>
    <mergeCell ref="F62:F64"/>
    <mergeCell ref="G62:G64"/>
    <mergeCell ref="H62:H64"/>
    <mergeCell ref="I62:I64"/>
    <mergeCell ref="J62:J64"/>
    <mergeCell ref="L55:L60"/>
    <mergeCell ref="M55:M60"/>
    <mergeCell ref="N55:N60"/>
    <mergeCell ref="O55:O60"/>
    <mergeCell ref="P55:P60"/>
    <mergeCell ref="Q55:Q60"/>
    <mergeCell ref="Q62:Q64"/>
    <mergeCell ref="S62:S64"/>
    <mergeCell ref="T62:T64"/>
    <mergeCell ref="M42:M53"/>
    <mergeCell ref="N42:N53"/>
    <mergeCell ref="O42:O53"/>
    <mergeCell ref="P42:P53"/>
    <mergeCell ref="Q42:Q53"/>
    <mergeCell ref="S42:S53"/>
    <mergeCell ref="G42:G53"/>
    <mergeCell ref="H42:H53"/>
    <mergeCell ref="I42:I53"/>
    <mergeCell ref="J42:J53"/>
    <mergeCell ref="K42:K53"/>
    <mergeCell ref="L42:L53"/>
    <mergeCell ref="A55:A60"/>
    <mergeCell ref="B55:B60"/>
    <mergeCell ref="E55:E60"/>
    <mergeCell ref="F55:F60"/>
    <mergeCell ref="G55:G60"/>
    <mergeCell ref="H55:H60"/>
    <mergeCell ref="I55:I60"/>
    <mergeCell ref="J55:J60"/>
    <mergeCell ref="K55:K60"/>
    <mergeCell ref="C42:C53"/>
    <mergeCell ref="D42:D53"/>
    <mergeCell ref="E42:E53"/>
    <mergeCell ref="F42:F53"/>
    <mergeCell ref="T30:T33"/>
    <mergeCell ref="A34:A41"/>
    <mergeCell ref="B34:B41"/>
    <mergeCell ref="E34:E41"/>
    <mergeCell ref="F34:F41"/>
    <mergeCell ref="G34:G41"/>
    <mergeCell ref="T34:T41"/>
    <mergeCell ref="M30:M33"/>
    <mergeCell ref="N30:N33"/>
    <mergeCell ref="O30:O33"/>
    <mergeCell ref="P30:P33"/>
    <mergeCell ref="Q30:Q33"/>
    <mergeCell ref="S30:S33"/>
    <mergeCell ref="F30:F33"/>
    <mergeCell ref="G30:G33"/>
    <mergeCell ref="H30:H33"/>
    <mergeCell ref="I30:I33"/>
    <mergeCell ref="K30:K33"/>
    <mergeCell ref="L30:L33"/>
    <mergeCell ref="T42:T53"/>
    <mergeCell ref="S26:S27"/>
    <mergeCell ref="T26:T27"/>
    <mergeCell ref="M26:M27"/>
    <mergeCell ref="N26:N27"/>
    <mergeCell ref="A30:A33"/>
    <mergeCell ref="B30:B33"/>
    <mergeCell ref="C30:C33"/>
    <mergeCell ref="D30:D33"/>
    <mergeCell ref="E30:E33"/>
    <mergeCell ref="I26:I27"/>
    <mergeCell ref="J26:J27"/>
    <mergeCell ref="K26:K27"/>
    <mergeCell ref="L26:L27"/>
    <mergeCell ref="A26:A27"/>
    <mergeCell ref="B26:B27"/>
    <mergeCell ref="E26:E27"/>
    <mergeCell ref="F26:F27"/>
    <mergeCell ref="G26:G27"/>
    <mergeCell ref="H26:H27"/>
    <mergeCell ref="H24:H25"/>
    <mergeCell ref="I24:I25"/>
    <mergeCell ref="J24:J25"/>
    <mergeCell ref="K24:K25"/>
    <mergeCell ref="L24:L25"/>
    <mergeCell ref="M24:M25"/>
    <mergeCell ref="O26:O27"/>
    <mergeCell ref="P26:P27"/>
    <mergeCell ref="Q26:Q27"/>
    <mergeCell ref="T19:T23"/>
    <mergeCell ref="A24:A25"/>
    <mergeCell ref="B24:B25"/>
    <mergeCell ref="E24:E25"/>
    <mergeCell ref="F24:F25"/>
    <mergeCell ref="G24:G25"/>
    <mergeCell ref="I19:I23"/>
    <mergeCell ref="J19:J23"/>
    <mergeCell ref="K19:K23"/>
    <mergeCell ref="L19:L23"/>
    <mergeCell ref="M19:M23"/>
    <mergeCell ref="N19:N23"/>
    <mergeCell ref="A19:A23"/>
    <mergeCell ref="B19:B23"/>
    <mergeCell ref="E19:E23"/>
    <mergeCell ref="F19:F23"/>
    <mergeCell ref="G19:G23"/>
    <mergeCell ref="H19:H23"/>
    <mergeCell ref="N24:N25"/>
    <mergeCell ref="O24:O25"/>
    <mergeCell ref="P24:P25"/>
    <mergeCell ref="Q24:Q25"/>
    <mergeCell ref="S24:S25"/>
    <mergeCell ref="T24:T25"/>
    <mergeCell ref="I11:I17"/>
    <mergeCell ref="K11:K17"/>
    <mergeCell ref="L11:L17"/>
    <mergeCell ref="M11:M17"/>
    <mergeCell ref="N11:N17"/>
    <mergeCell ref="O19:O23"/>
    <mergeCell ref="P19:P23"/>
    <mergeCell ref="Q19:Q23"/>
    <mergeCell ref="S19:S23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N4:N5"/>
    <mergeCell ref="O4:O5"/>
    <mergeCell ref="P4:P5"/>
    <mergeCell ref="Q4:Q5"/>
    <mergeCell ref="R4:R5"/>
    <mergeCell ref="T2:T5"/>
    <mergeCell ref="T11:T17"/>
    <mergeCell ref="D153:F153"/>
    <mergeCell ref="D156:I156"/>
    <mergeCell ref="D157:I157"/>
    <mergeCell ref="B159:I159"/>
    <mergeCell ref="A2:A5"/>
    <mergeCell ref="B2:B5"/>
    <mergeCell ref="C2:Q2"/>
    <mergeCell ref="R2:R3"/>
    <mergeCell ref="S2:S5"/>
    <mergeCell ref="K4:K5"/>
    <mergeCell ref="L4:L5"/>
    <mergeCell ref="M4:M5"/>
    <mergeCell ref="A11:A17"/>
    <mergeCell ref="B11:B17"/>
    <mergeCell ref="E11:E17"/>
    <mergeCell ref="F11:F17"/>
    <mergeCell ref="G11:G17"/>
    <mergeCell ref="O11:O17"/>
    <mergeCell ref="P11:P17"/>
    <mergeCell ref="Q11:Q17"/>
    <mergeCell ref="S11:S17"/>
    <mergeCell ref="J13:J17"/>
    <mergeCell ref="H11:H1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5CB3D-590E-4E24-955D-DFE7C573D099}">
  <dimension ref="A1:AF268"/>
  <sheetViews>
    <sheetView workbookViewId="0">
      <selection activeCell="V9" sqref="V9"/>
    </sheetView>
  </sheetViews>
  <sheetFormatPr defaultColWidth="9" defaultRowHeight="14.4" x14ac:dyDescent="0.3"/>
  <cols>
    <col min="1" max="1" width="16.109375" style="241" customWidth="1"/>
    <col min="2" max="2" width="37.88671875" style="241" bestFit="1" customWidth="1"/>
    <col min="3" max="3" width="10.44140625" style="241" customWidth="1"/>
    <col min="4" max="5" width="9" style="241"/>
    <col min="6" max="6" width="11" style="241" customWidth="1"/>
    <col min="7" max="7" width="9" style="241"/>
    <col min="8" max="8" width="10.21875" style="241" customWidth="1"/>
    <col min="9" max="9" width="19.88671875" style="241" customWidth="1"/>
    <col min="10" max="10" width="13.44140625" style="241" customWidth="1"/>
    <col min="11" max="11" width="9" style="241"/>
    <col min="12" max="12" width="15.33203125" style="241" customWidth="1"/>
    <col min="13" max="13" width="21" style="241" customWidth="1"/>
    <col min="14" max="14" width="13.6640625" style="241" customWidth="1"/>
    <col min="15" max="15" width="12.6640625" style="241" customWidth="1"/>
    <col min="16" max="16" width="12.109375" style="241" bestFit="1" customWidth="1"/>
    <col min="17" max="17" width="9.6640625" style="241" bestFit="1" customWidth="1"/>
    <col min="18" max="18" width="19.88671875" style="298" customWidth="1"/>
    <col min="19" max="19" width="19" style="241" customWidth="1"/>
    <col min="20" max="20" width="23.88671875" style="241" customWidth="1"/>
    <col min="21" max="21" width="20.33203125" style="300" customWidth="1"/>
    <col min="22" max="16384" width="9" style="241"/>
  </cols>
  <sheetData>
    <row r="1" spans="1:21" ht="18" thickBot="1" x14ac:dyDescent="0.35">
      <c r="A1" s="896" t="s">
        <v>1119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  <c r="T1" s="896"/>
      <c r="U1" s="896"/>
    </row>
    <row r="2" spans="1:21" s="242" customFormat="1" ht="15" thickBot="1" x14ac:dyDescent="0.35">
      <c r="A2" s="670" t="s">
        <v>1</v>
      </c>
      <c r="B2" s="672" t="s">
        <v>2</v>
      </c>
      <c r="C2" s="674" t="s">
        <v>3</v>
      </c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6"/>
      <c r="R2" s="897" t="s">
        <v>4</v>
      </c>
      <c r="S2" s="678" t="s">
        <v>5</v>
      </c>
      <c r="T2" s="680" t="s">
        <v>207</v>
      </c>
      <c r="U2" s="682" t="s">
        <v>7</v>
      </c>
    </row>
    <row r="3" spans="1:21" s="242" customFormat="1" ht="28.8" customHeight="1" thickBot="1" x14ac:dyDescent="0.35">
      <c r="A3" s="671"/>
      <c r="B3" s="673"/>
      <c r="C3" s="684" t="s">
        <v>8</v>
      </c>
      <c r="D3" s="685"/>
      <c r="E3" s="685"/>
      <c r="F3" s="685"/>
      <c r="G3" s="686"/>
      <c r="H3" s="684" t="s">
        <v>9</v>
      </c>
      <c r="I3" s="685"/>
      <c r="J3" s="685"/>
      <c r="K3" s="685"/>
      <c r="L3" s="685"/>
      <c r="M3" s="685"/>
      <c r="N3" s="685"/>
      <c r="O3" s="686"/>
      <c r="P3" s="684" t="s">
        <v>10</v>
      </c>
      <c r="Q3" s="686"/>
      <c r="R3" s="898"/>
      <c r="S3" s="679"/>
      <c r="T3" s="681"/>
      <c r="U3" s="683"/>
    </row>
    <row r="4" spans="1:21" s="242" customFormat="1" ht="15" thickBot="1" x14ac:dyDescent="0.35">
      <c r="A4" s="671"/>
      <c r="B4" s="673"/>
      <c r="C4" s="684" t="s">
        <v>11</v>
      </c>
      <c r="D4" s="686"/>
      <c r="E4" s="687" t="s">
        <v>12</v>
      </c>
      <c r="F4" s="687" t="s">
        <v>208</v>
      </c>
      <c r="G4" s="687" t="s">
        <v>14</v>
      </c>
      <c r="H4" s="687" t="s">
        <v>15</v>
      </c>
      <c r="I4" s="684" t="s">
        <v>16</v>
      </c>
      <c r="J4" s="686"/>
      <c r="K4" s="687" t="s">
        <v>17</v>
      </c>
      <c r="L4" s="687" t="s">
        <v>208</v>
      </c>
      <c r="M4" s="687" t="s">
        <v>209</v>
      </c>
      <c r="N4" s="687" t="s">
        <v>19</v>
      </c>
      <c r="O4" s="687" t="s">
        <v>210</v>
      </c>
      <c r="P4" s="687" t="s">
        <v>211</v>
      </c>
      <c r="Q4" s="687" t="s">
        <v>17</v>
      </c>
      <c r="R4" s="904" t="s">
        <v>21</v>
      </c>
      <c r="S4" s="679"/>
      <c r="T4" s="681"/>
      <c r="U4" s="683"/>
    </row>
    <row r="5" spans="1:21" s="242" customFormat="1" ht="60.75" customHeight="1" thickBot="1" x14ac:dyDescent="0.35">
      <c r="A5" s="671"/>
      <c r="B5" s="673"/>
      <c r="C5" s="63" t="s">
        <v>22</v>
      </c>
      <c r="D5" s="63" t="s">
        <v>23</v>
      </c>
      <c r="E5" s="673"/>
      <c r="F5" s="673"/>
      <c r="G5" s="673"/>
      <c r="H5" s="673"/>
      <c r="I5" s="63" t="s">
        <v>24</v>
      </c>
      <c r="J5" s="63" t="s">
        <v>25</v>
      </c>
      <c r="K5" s="673"/>
      <c r="L5" s="673"/>
      <c r="M5" s="673"/>
      <c r="N5" s="673"/>
      <c r="O5" s="673"/>
      <c r="P5" s="673"/>
      <c r="Q5" s="673"/>
      <c r="R5" s="905"/>
      <c r="S5" s="679"/>
      <c r="T5" s="681"/>
      <c r="U5" s="683"/>
    </row>
    <row r="6" spans="1:21" s="243" customFormat="1" ht="12.6" thickBot="1" x14ac:dyDescent="0.35">
      <c r="A6" s="64">
        <v>1</v>
      </c>
      <c r="B6" s="65">
        <v>2</v>
      </c>
      <c r="C6" s="65">
        <v>3</v>
      </c>
      <c r="D6" s="65">
        <v>4</v>
      </c>
      <c r="E6" s="65">
        <v>5</v>
      </c>
      <c r="F6" s="65">
        <v>6</v>
      </c>
      <c r="G6" s="65">
        <v>7</v>
      </c>
      <c r="H6" s="65">
        <v>8</v>
      </c>
      <c r="I6" s="65">
        <v>9</v>
      </c>
      <c r="J6" s="65">
        <v>10</v>
      </c>
      <c r="K6" s="65">
        <v>11</v>
      </c>
      <c r="L6" s="65">
        <v>12</v>
      </c>
      <c r="M6" s="65">
        <v>13</v>
      </c>
      <c r="N6" s="65">
        <v>14</v>
      </c>
      <c r="O6" s="65">
        <v>15</v>
      </c>
      <c r="P6" s="65">
        <v>16</v>
      </c>
      <c r="Q6" s="65">
        <v>17</v>
      </c>
      <c r="R6" s="65">
        <v>18</v>
      </c>
      <c r="S6" s="65">
        <v>19</v>
      </c>
      <c r="T6" s="65">
        <v>20</v>
      </c>
      <c r="U6" s="66">
        <v>21</v>
      </c>
    </row>
    <row r="7" spans="1:21" x14ac:dyDescent="0.3">
      <c r="A7" s="906" t="s">
        <v>1120</v>
      </c>
      <c r="B7" s="908" t="s">
        <v>1121</v>
      </c>
      <c r="C7" s="910">
        <v>0</v>
      </c>
      <c r="D7" s="910">
        <v>0.89</v>
      </c>
      <c r="E7" s="910">
        <v>0.89</v>
      </c>
      <c r="F7" s="912">
        <v>3960</v>
      </c>
      <c r="G7" s="914" t="s">
        <v>32</v>
      </c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5" t="s">
        <v>1122</v>
      </c>
      <c r="S7" s="916" t="s">
        <v>1123</v>
      </c>
      <c r="T7" s="918" t="s">
        <v>252</v>
      </c>
      <c r="U7" s="920"/>
    </row>
    <row r="8" spans="1:21" ht="85.5" customHeight="1" thickBot="1" x14ac:dyDescent="0.35">
      <c r="A8" s="907"/>
      <c r="B8" s="909"/>
      <c r="C8" s="911"/>
      <c r="D8" s="911"/>
      <c r="E8" s="911"/>
      <c r="F8" s="913"/>
      <c r="G8" s="915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8" t="s">
        <v>1124</v>
      </c>
      <c r="S8" s="917"/>
      <c r="T8" s="919"/>
      <c r="U8" s="921"/>
    </row>
    <row r="9" spans="1:21" ht="48.6" thickBot="1" x14ac:dyDescent="0.35">
      <c r="A9" s="249" t="s">
        <v>1125</v>
      </c>
      <c r="B9" s="250" t="s">
        <v>1126</v>
      </c>
      <c r="C9" s="251">
        <v>0</v>
      </c>
      <c r="D9" s="251">
        <v>0.4</v>
      </c>
      <c r="E9" s="251">
        <v>0.4</v>
      </c>
      <c r="F9" s="252">
        <v>1300</v>
      </c>
      <c r="G9" s="253" t="s">
        <v>51</v>
      </c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4" t="s">
        <v>1127</v>
      </c>
      <c r="S9" s="255" t="s">
        <v>1123</v>
      </c>
      <c r="T9" s="256" t="s">
        <v>252</v>
      </c>
      <c r="U9" s="66"/>
    </row>
    <row r="10" spans="1:21" ht="48.6" thickBot="1" x14ac:dyDescent="0.35">
      <c r="A10" s="249" t="s">
        <v>1128</v>
      </c>
      <c r="B10" s="250" t="s">
        <v>389</v>
      </c>
      <c r="C10" s="257">
        <v>0</v>
      </c>
      <c r="D10" s="251">
        <v>0.28000000000000003</v>
      </c>
      <c r="E10" s="257">
        <v>0.28000000000000003</v>
      </c>
      <c r="F10" s="252">
        <v>1955</v>
      </c>
      <c r="G10" s="253" t="s">
        <v>51</v>
      </c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4" t="s">
        <v>1129</v>
      </c>
      <c r="S10" s="255" t="s">
        <v>1123</v>
      </c>
      <c r="T10" s="256" t="s">
        <v>252</v>
      </c>
      <c r="U10" s="258"/>
    </row>
    <row r="11" spans="1:21" x14ac:dyDescent="0.3">
      <c r="A11" s="922" t="s">
        <v>1130</v>
      </c>
      <c r="B11" s="923" t="s">
        <v>1131</v>
      </c>
      <c r="C11" s="259">
        <v>0</v>
      </c>
      <c r="D11" s="259">
        <v>0.21</v>
      </c>
      <c r="E11" s="925">
        <v>0.28999999999999998</v>
      </c>
      <c r="F11" s="260">
        <v>1260</v>
      </c>
      <c r="G11" s="260" t="s">
        <v>29</v>
      </c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1" t="s">
        <v>1132</v>
      </c>
      <c r="S11" s="927" t="s">
        <v>1123</v>
      </c>
      <c r="T11" s="928" t="s">
        <v>252</v>
      </c>
      <c r="U11" s="929"/>
    </row>
    <row r="12" spans="1:21" ht="66" customHeight="1" thickBot="1" x14ac:dyDescent="0.35">
      <c r="A12" s="907"/>
      <c r="B12" s="924"/>
      <c r="C12" s="246">
        <v>0.21</v>
      </c>
      <c r="D12" s="246">
        <v>0.28999999999999998</v>
      </c>
      <c r="E12" s="926"/>
      <c r="F12" s="247">
        <v>320</v>
      </c>
      <c r="G12" s="247" t="s">
        <v>32</v>
      </c>
      <c r="H12" s="247"/>
      <c r="I12" s="247"/>
      <c r="J12" s="247"/>
      <c r="K12" s="247"/>
      <c r="L12" s="247"/>
      <c r="M12" s="247"/>
      <c r="N12" s="247"/>
      <c r="O12" s="247"/>
      <c r="P12" s="247"/>
      <c r="Q12" s="247"/>
      <c r="R12" s="248" t="s">
        <v>1133</v>
      </c>
      <c r="S12" s="917"/>
      <c r="T12" s="919"/>
      <c r="U12" s="930"/>
    </row>
    <row r="13" spans="1:21" ht="48.6" thickBot="1" x14ac:dyDescent="0.35">
      <c r="A13" s="249" t="s">
        <v>1134</v>
      </c>
      <c r="B13" s="262" t="s">
        <v>1135</v>
      </c>
      <c r="C13" s="263">
        <v>0</v>
      </c>
      <c r="D13" s="263">
        <v>0.62</v>
      </c>
      <c r="E13" s="263">
        <v>0.62</v>
      </c>
      <c r="F13" s="252">
        <v>3840</v>
      </c>
      <c r="G13" s="252" t="s">
        <v>32</v>
      </c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4" t="s">
        <v>1136</v>
      </c>
      <c r="S13" s="255" t="s">
        <v>1123</v>
      </c>
      <c r="T13" s="256" t="s">
        <v>252</v>
      </c>
      <c r="U13" s="258"/>
    </row>
    <row r="14" spans="1:21" ht="48.6" thickBot="1" x14ac:dyDescent="0.35">
      <c r="A14" s="249" t="s">
        <v>1137</v>
      </c>
      <c r="B14" s="264" t="s">
        <v>1138</v>
      </c>
      <c r="C14" s="263">
        <v>0</v>
      </c>
      <c r="D14" s="263">
        <v>0.33</v>
      </c>
      <c r="E14" s="263">
        <v>0.33</v>
      </c>
      <c r="F14" s="252">
        <v>1625</v>
      </c>
      <c r="G14" s="252" t="s">
        <v>32</v>
      </c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4" t="s">
        <v>1139</v>
      </c>
      <c r="S14" s="255" t="s">
        <v>1123</v>
      </c>
      <c r="T14" s="256" t="s">
        <v>252</v>
      </c>
      <c r="U14" s="258"/>
    </row>
    <row r="15" spans="1:21" ht="48.6" thickBot="1" x14ac:dyDescent="0.35">
      <c r="A15" s="249" t="s">
        <v>1140</v>
      </c>
      <c r="B15" s="264" t="s">
        <v>1141</v>
      </c>
      <c r="C15" s="263">
        <v>0</v>
      </c>
      <c r="D15" s="263">
        <v>0.61</v>
      </c>
      <c r="E15" s="263">
        <v>0.61</v>
      </c>
      <c r="F15" s="252">
        <v>2582.9999999999995</v>
      </c>
      <c r="G15" s="252" t="s">
        <v>51</v>
      </c>
      <c r="H15" s="252"/>
      <c r="I15" s="252"/>
      <c r="J15" s="252"/>
      <c r="K15" s="252"/>
      <c r="L15" s="252"/>
      <c r="M15" s="252"/>
      <c r="N15" s="252"/>
      <c r="O15" s="252"/>
      <c r="P15" s="252">
        <v>51</v>
      </c>
      <c r="Q15" s="252">
        <v>76.5</v>
      </c>
      <c r="R15" s="263" t="s">
        <v>1142</v>
      </c>
      <c r="S15" s="255" t="s">
        <v>1123</v>
      </c>
      <c r="T15" s="256" t="s">
        <v>252</v>
      </c>
      <c r="U15" s="258"/>
    </row>
    <row r="16" spans="1:21" ht="48.6" thickBot="1" x14ac:dyDescent="0.35">
      <c r="A16" s="249" t="s">
        <v>1143</v>
      </c>
      <c r="B16" s="264" t="s">
        <v>1144</v>
      </c>
      <c r="C16" s="263">
        <v>0</v>
      </c>
      <c r="D16" s="263">
        <v>7.0000000000000007E-2</v>
      </c>
      <c r="E16" s="263">
        <v>7.0000000000000007E-2</v>
      </c>
      <c r="F16" s="252">
        <v>320</v>
      </c>
      <c r="G16" s="252" t="s">
        <v>32</v>
      </c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4" t="s">
        <v>1145</v>
      </c>
      <c r="S16" s="255" t="s">
        <v>1123</v>
      </c>
      <c r="T16" s="256" t="s">
        <v>252</v>
      </c>
      <c r="U16" s="66"/>
    </row>
    <row r="17" spans="1:21" x14ac:dyDescent="0.3">
      <c r="A17" s="922" t="s">
        <v>1146</v>
      </c>
      <c r="B17" s="932" t="s">
        <v>1147</v>
      </c>
      <c r="C17" s="261">
        <v>0</v>
      </c>
      <c r="D17" s="265">
        <v>0.9</v>
      </c>
      <c r="E17" s="899">
        <v>1.45</v>
      </c>
      <c r="F17" s="260">
        <v>2600</v>
      </c>
      <c r="G17" s="260" t="s">
        <v>51</v>
      </c>
      <c r="H17" s="901"/>
      <c r="I17" s="901"/>
      <c r="J17" s="901"/>
      <c r="K17" s="901"/>
      <c r="L17" s="901"/>
      <c r="M17" s="901"/>
      <c r="N17" s="901"/>
      <c r="O17" s="901"/>
      <c r="P17" s="901">
        <v>1295</v>
      </c>
      <c r="Q17" s="901">
        <v>682.5</v>
      </c>
      <c r="R17" s="899" t="s">
        <v>1148</v>
      </c>
      <c r="S17" s="901" t="s">
        <v>1123</v>
      </c>
      <c r="T17" s="928" t="s">
        <v>252</v>
      </c>
      <c r="U17" s="929"/>
    </row>
    <row r="18" spans="1:21" x14ac:dyDescent="0.3">
      <c r="A18" s="931"/>
      <c r="B18" s="933"/>
      <c r="C18" s="266">
        <v>0.9</v>
      </c>
      <c r="D18" s="267">
        <v>1.4</v>
      </c>
      <c r="E18" s="900"/>
      <c r="F18" s="268">
        <v>7500</v>
      </c>
      <c r="G18" s="268" t="s">
        <v>32</v>
      </c>
      <c r="H18" s="902"/>
      <c r="I18" s="902"/>
      <c r="J18" s="902"/>
      <c r="K18" s="902"/>
      <c r="L18" s="902"/>
      <c r="M18" s="902"/>
      <c r="N18" s="902"/>
      <c r="O18" s="902"/>
      <c r="P18" s="902"/>
      <c r="Q18" s="902"/>
      <c r="R18" s="900"/>
      <c r="S18" s="902"/>
      <c r="T18" s="936"/>
      <c r="U18" s="937"/>
    </row>
    <row r="19" spans="1:21" ht="63.75" customHeight="1" thickBot="1" x14ac:dyDescent="0.35">
      <c r="A19" s="907"/>
      <c r="B19" s="934"/>
      <c r="C19" s="248">
        <v>1.4</v>
      </c>
      <c r="D19" s="269">
        <v>1.45</v>
      </c>
      <c r="E19" s="935"/>
      <c r="F19" s="247">
        <v>6189</v>
      </c>
      <c r="G19" s="247" t="s">
        <v>51</v>
      </c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8" t="s">
        <v>1149</v>
      </c>
      <c r="S19" s="903"/>
      <c r="T19" s="919"/>
      <c r="U19" s="930"/>
    </row>
    <row r="20" spans="1:21" x14ac:dyDescent="0.3">
      <c r="A20" s="922" t="s">
        <v>1150</v>
      </c>
      <c r="B20" s="932" t="s">
        <v>1151</v>
      </c>
      <c r="C20" s="261">
        <v>0</v>
      </c>
      <c r="D20" s="265">
        <v>0.48</v>
      </c>
      <c r="E20" s="899">
        <v>0.71</v>
      </c>
      <c r="F20" s="260">
        <v>3500</v>
      </c>
      <c r="G20" s="260" t="s">
        <v>51</v>
      </c>
      <c r="H20" s="901"/>
      <c r="I20" s="901"/>
      <c r="J20" s="901"/>
      <c r="K20" s="901"/>
      <c r="L20" s="901"/>
      <c r="M20" s="901"/>
      <c r="N20" s="901"/>
      <c r="O20" s="901"/>
      <c r="P20" s="901"/>
      <c r="Q20" s="901"/>
      <c r="R20" s="261" t="s">
        <v>1152</v>
      </c>
      <c r="S20" s="901" t="s">
        <v>1123</v>
      </c>
      <c r="T20" s="928" t="s">
        <v>252</v>
      </c>
      <c r="U20" s="929"/>
    </row>
    <row r="21" spans="1:21" x14ac:dyDescent="0.3">
      <c r="A21" s="931"/>
      <c r="B21" s="933"/>
      <c r="C21" s="266">
        <v>0.48</v>
      </c>
      <c r="D21" s="267">
        <v>0.56999999999999995</v>
      </c>
      <c r="E21" s="900"/>
      <c r="F21" s="268">
        <v>350.00000000000006</v>
      </c>
      <c r="G21" s="268" t="s">
        <v>51</v>
      </c>
      <c r="H21" s="902"/>
      <c r="I21" s="902"/>
      <c r="J21" s="902"/>
      <c r="K21" s="902"/>
      <c r="L21" s="902"/>
      <c r="M21" s="902"/>
      <c r="N21" s="902"/>
      <c r="O21" s="902"/>
      <c r="P21" s="902"/>
      <c r="Q21" s="902"/>
      <c r="R21" s="900" t="s">
        <v>1153</v>
      </c>
      <c r="S21" s="902"/>
      <c r="T21" s="936"/>
      <c r="U21" s="937"/>
    </row>
    <row r="22" spans="1:21" ht="45.75" customHeight="1" thickBot="1" x14ac:dyDescent="0.35">
      <c r="A22" s="907"/>
      <c r="B22" s="934"/>
      <c r="C22" s="248">
        <v>0.56999999999999995</v>
      </c>
      <c r="D22" s="269">
        <v>0.71</v>
      </c>
      <c r="E22" s="935"/>
      <c r="F22" s="247">
        <v>520</v>
      </c>
      <c r="G22" s="247" t="s">
        <v>32</v>
      </c>
      <c r="H22" s="903"/>
      <c r="I22" s="903"/>
      <c r="J22" s="903"/>
      <c r="K22" s="903"/>
      <c r="L22" s="903"/>
      <c r="M22" s="903"/>
      <c r="N22" s="903"/>
      <c r="O22" s="903"/>
      <c r="P22" s="903"/>
      <c r="Q22" s="903"/>
      <c r="R22" s="935"/>
      <c r="S22" s="903"/>
      <c r="T22" s="919"/>
      <c r="U22" s="930"/>
    </row>
    <row r="23" spans="1:21" ht="48.6" thickBot="1" x14ac:dyDescent="0.35">
      <c r="A23" s="249" t="s">
        <v>1154</v>
      </c>
      <c r="B23" s="264" t="s">
        <v>1155</v>
      </c>
      <c r="C23" s="263">
        <v>0</v>
      </c>
      <c r="D23" s="263">
        <v>0.34</v>
      </c>
      <c r="E23" s="263">
        <v>0.34</v>
      </c>
      <c r="F23" s="252">
        <v>1575</v>
      </c>
      <c r="G23" s="252" t="s">
        <v>51</v>
      </c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63" t="s">
        <v>1156</v>
      </c>
      <c r="S23" s="255" t="s">
        <v>1123</v>
      </c>
      <c r="T23" s="256" t="s">
        <v>252</v>
      </c>
      <c r="U23" s="66"/>
    </row>
    <row r="24" spans="1:21" ht="48.6" thickBot="1" x14ac:dyDescent="0.35">
      <c r="A24" s="249" t="s">
        <v>1157</v>
      </c>
      <c r="B24" s="264" t="s">
        <v>1158</v>
      </c>
      <c r="C24" s="263">
        <v>0</v>
      </c>
      <c r="D24" s="263">
        <v>0.24</v>
      </c>
      <c r="E24" s="263">
        <v>0.24</v>
      </c>
      <c r="F24" s="252">
        <v>1080</v>
      </c>
      <c r="G24" s="252" t="s">
        <v>32</v>
      </c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63" t="s">
        <v>1159</v>
      </c>
      <c r="S24" s="255" t="s">
        <v>1123</v>
      </c>
      <c r="T24" s="256" t="s">
        <v>252</v>
      </c>
      <c r="U24" s="66"/>
    </row>
    <row r="25" spans="1:21" x14ac:dyDescent="0.3">
      <c r="A25" s="922" t="s">
        <v>1160</v>
      </c>
      <c r="B25" s="932" t="s">
        <v>1161</v>
      </c>
      <c r="C25" s="265">
        <v>0</v>
      </c>
      <c r="D25" s="265">
        <v>0.25</v>
      </c>
      <c r="E25" s="938">
        <v>0.3</v>
      </c>
      <c r="F25" s="901">
        <v>1500</v>
      </c>
      <c r="G25" s="901" t="s">
        <v>32</v>
      </c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5" t="s">
        <v>1162</v>
      </c>
      <c r="S25" s="927" t="s">
        <v>1123</v>
      </c>
      <c r="T25" s="928" t="s">
        <v>252</v>
      </c>
      <c r="U25" s="929"/>
    </row>
    <row r="26" spans="1:21" ht="69.75" customHeight="1" thickBot="1" x14ac:dyDescent="0.35">
      <c r="A26" s="907"/>
      <c r="B26" s="934"/>
      <c r="C26" s="269">
        <v>0.25</v>
      </c>
      <c r="D26" s="269">
        <v>0.3</v>
      </c>
      <c r="E26" s="939"/>
      <c r="F26" s="903"/>
      <c r="G26" s="903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69" t="s">
        <v>1163</v>
      </c>
      <c r="S26" s="917"/>
      <c r="T26" s="919"/>
      <c r="U26" s="930"/>
    </row>
    <row r="27" spans="1:21" ht="48.6" thickBot="1" x14ac:dyDescent="0.35">
      <c r="A27" s="249" t="s">
        <v>1164</v>
      </c>
      <c r="B27" s="264" t="s">
        <v>1165</v>
      </c>
      <c r="C27" s="263">
        <v>0</v>
      </c>
      <c r="D27" s="263">
        <v>0.24</v>
      </c>
      <c r="E27" s="263">
        <v>0.24</v>
      </c>
      <c r="F27" s="252">
        <v>1500</v>
      </c>
      <c r="G27" s="252" t="s">
        <v>32</v>
      </c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63" t="s">
        <v>1166</v>
      </c>
      <c r="S27" s="255" t="s">
        <v>1123</v>
      </c>
      <c r="T27" s="256" t="s">
        <v>252</v>
      </c>
      <c r="U27" s="258"/>
    </row>
    <row r="28" spans="1:21" ht="48.6" thickBot="1" x14ac:dyDescent="0.35">
      <c r="A28" s="249" t="s">
        <v>1167</v>
      </c>
      <c r="B28" s="264" t="s">
        <v>1168</v>
      </c>
      <c r="C28" s="263">
        <v>0</v>
      </c>
      <c r="D28" s="263">
        <v>0.32</v>
      </c>
      <c r="E28" s="263">
        <v>0.32</v>
      </c>
      <c r="F28" s="252">
        <f>E28*4*1000</f>
        <v>1280</v>
      </c>
      <c r="G28" s="252" t="s">
        <v>51</v>
      </c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63" t="s">
        <v>1169</v>
      </c>
      <c r="S28" s="255" t="s">
        <v>1123</v>
      </c>
      <c r="T28" s="256" t="s">
        <v>252</v>
      </c>
      <c r="U28" s="258"/>
    </row>
    <row r="29" spans="1:21" ht="48.6" thickBot="1" x14ac:dyDescent="0.35">
      <c r="A29" s="249" t="s">
        <v>1170</v>
      </c>
      <c r="B29" s="264" t="s">
        <v>1171</v>
      </c>
      <c r="C29" s="263">
        <v>0</v>
      </c>
      <c r="D29" s="263">
        <v>0.91</v>
      </c>
      <c r="E29" s="263">
        <v>0.91</v>
      </c>
      <c r="F29" s="252">
        <v>6300</v>
      </c>
      <c r="G29" s="252" t="s">
        <v>51</v>
      </c>
      <c r="H29" s="252"/>
      <c r="I29" s="252"/>
      <c r="J29" s="252"/>
      <c r="K29" s="252"/>
      <c r="L29" s="252"/>
      <c r="M29" s="252"/>
      <c r="N29" s="252"/>
      <c r="O29" s="252"/>
      <c r="P29" s="252">
        <v>1099</v>
      </c>
      <c r="Q29" s="252">
        <v>647</v>
      </c>
      <c r="R29" s="263" t="s">
        <v>1172</v>
      </c>
      <c r="S29" s="255" t="s">
        <v>1123</v>
      </c>
      <c r="T29" s="256" t="s">
        <v>252</v>
      </c>
      <c r="U29" s="258"/>
    </row>
    <row r="30" spans="1:21" x14ac:dyDescent="0.3">
      <c r="A30" s="922" t="s">
        <v>1173</v>
      </c>
      <c r="B30" s="932" t="s">
        <v>1174</v>
      </c>
      <c r="C30" s="261">
        <v>0</v>
      </c>
      <c r="D30" s="265">
        <v>0.1</v>
      </c>
      <c r="E30" s="899">
        <v>0.25</v>
      </c>
      <c r="F30" s="901">
        <f>E30*3.5*1000</f>
        <v>875</v>
      </c>
      <c r="G30" s="901" t="s">
        <v>51</v>
      </c>
      <c r="H30" s="901"/>
      <c r="I30" s="901"/>
      <c r="J30" s="901"/>
      <c r="K30" s="901"/>
      <c r="L30" s="901"/>
      <c r="M30" s="901"/>
      <c r="N30" s="901"/>
      <c r="O30" s="901"/>
      <c r="P30" s="901"/>
      <c r="Q30" s="901"/>
      <c r="R30" s="261" t="s">
        <v>1175</v>
      </c>
      <c r="S30" s="901" t="s">
        <v>1123</v>
      </c>
      <c r="T30" s="928" t="s">
        <v>252</v>
      </c>
      <c r="U30" s="929"/>
    </row>
    <row r="31" spans="1:21" x14ac:dyDescent="0.3">
      <c r="A31" s="931"/>
      <c r="B31" s="933"/>
      <c r="C31" s="900">
        <v>0.1</v>
      </c>
      <c r="D31" s="940">
        <v>0.13</v>
      </c>
      <c r="E31" s="900"/>
      <c r="F31" s="902"/>
      <c r="G31" s="902"/>
      <c r="H31" s="902"/>
      <c r="I31" s="902"/>
      <c r="J31" s="902"/>
      <c r="K31" s="902"/>
      <c r="L31" s="902"/>
      <c r="M31" s="902"/>
      <c r="N31" s="902"/>
      <c r="O31" s="902"/>
      <c r="P31" s="902"/>
      <c r="Q31" s="902"/>
      <c r="R31" s="267" t="s">
        <v>1176</v>
      </c>
      <c r="S31" s="902"/>
      <c r="T31" s="936"/>
      <c r="U31" s="937"/>
    </row>
    <row r="32" spans="1:21" x14ac:dyDescent="0.3">
      <c r="A32" s="931"/>
      <c r="B32" s="933"/>
      <c r="C32" s="900"/>
      <c r="D32" s="940"/>
      <c r="E32" s="900"/>
      <c r="F32" s="902"/>
      <c r="G32" s="902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6" t="s">
        <v>1177</v>
      </c>
      <c r="S32" s="902"/>
      <c r="T32" s="936"/>
      <c r="U32" s="937"/>
    </row>
    <row r="33" spans="1:21" ht="54" customHeight="1" thickBot="1" x14ac:dyDescent="0.35">
      <c r="A33" s="907"/>
      <c r="B33" s="934"/>
      <c r="C33" s="248">
        <v>0.13</v>
      </c>
      <c r="D33" s="269">
        <v>0.25</v>
      </c>
      <c r="E33" s="935"/>
      <c r="F33" s="903"/>
      <c r="G33" s="903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8" t="s">
        <v>1175</v>
      </c>
      <c r="S33" s="903"/>
      <c r="T33" s="919"/>
      <c r="U33" s="930"/>
    </row>
    <row r="34" spans="1:21" x14ac:dyDescent="0.3">
      <c r="A34" s="922" t="s">
        <v>1178</v>
      </c>
      <c r="B34" s="932" t="s">
        <v>1179</v>
      </c>
      <c r="C34" s="261">
        <v>0</v>
      </c>
      <c r="D34" s="265">
        <v>1.36</v>
      </c>
      <c r="E34" s="899">
        <v>1.58</v>
      </c>
      <c r="F34" s="260">
        <v>7800.0000000000009</v>
      </c>
      <c r="G34" s="260" t="s">
        <v>51</v>
      </c>
      <c r="H34" s="901"/>
      <c r="I34" s="941"/>
      <c r="J34" s="901"/>
      <c r="K34" s="901"/>
      <c r="L34" s="901"/>
      <c r="M34" s="901"/>
      <c r="N34" s="901"/>
      <c r="O34" s="901"/>
      <c r="P34" s="901">
        <v>758</v>
      </c>
      <c r="Q34" s="901">
        <v>446</v>
      </c>
      <c r="R34" s="899" t="s">
        <v>1180</v>
      </c>
      <c r="S34" s="901" t="s">
        <v>1123</v>
      </c>
      <c r="T34" s="928" t="s">
        <v>252</v>
      </c>
      <c r="U34" s="943"/>
    </row>
    <row r="35" spans="1:21" ht="70.5" customHeight="1" thickBot="1" x14ac:dyDescent="0.35">
      <c r="A35" s="907"/>
      <c r="B35" s="934"/>
      <c r="C35" s="248">
        <v>1.36</v>
      </c>
      <c r="D35" s="269">
        <v>1.58</v>
      </c>
      <c r="E35" s="935"/>
      <c r="F35" s="247">
        <v>900</v>
      </c>
      <c r="G35" s="247" t="s">
        <v>32</v>
      </c>
      <c r="H35" s="903"/>
      <c r="I35" s="942"/>
      <c r="J35" s="903"/>
      <c r="K35" s="903"/>
      <c r="L35" s="903"/>
      <c r="M35" s="903"/>
      <c r="N35" s="903"/>
      <c r="O35" s="903"/>
      <c r="P35" s="903"/>
      <c r="Q35" s="903"/>
      <c r="R35" s="935"/>
      <c r="S35" s="903"/>
      <c r="T35" s="919"/>
      <c r="U35" s="921"/>
    </row>
    <row r="36" spans="1:21" ht="48.6" thickBot="1" x14ac:dyDescent="0.35">
      <c r="A36" s="249" t="s">
        <v>1181</v>
      </c>
      <c r="B36" s="264" t="s">
        <v>1182</v>
      </c>
      <c r="C36" s="263">
        <v>0</v>
      </c>
      <c r="D36" s="263">
        <v>0.42</v>
      </c>
      <c r="E36" s="263">
        <v>0.42</v>
      </c>
      <c r="F36" s="252">
        <f>E36*4*1000</f>
        <v>1680</v>
      </c>
      <c r="G36" s="252" t="s">
        <v>51</v>
      </c>
      <c r="H36" s="252"/>
      <c r="I36" s="252"/>
      <c r="J36" s="252"/>
      <c r="K36" s="252"/>
      <c r="L36" s="252"/>
      <c r="M36" s="252"/>
      <c r="N36" s="252"/>
      <c r="O36" s="252"/>
      <c r="P36" s="252">
        <v>291</v>
      </c>
      <c r="Q36" s="252">
        <v>194</v>
      </c>
      <c r="R36" s="263" t="s">
        <v>1183</v>
      </c>
      <c r="S36" s="255" t="s">
        <v>1123</v>
      </c>
      <c r="T36" s="256" t="s">
        <v>252</v>
      </c>
      <c r="U36" s="66"/>
    </row>
    <row r="37" spans="1:21" ht="48.6" thickBot="1" x14ac:dyDescent="0.35">
      <c r="A37" s="249" t="s">
        <v>1184</v>
      </c>
      <c r="B37" s="264" t="s">
        <v>1185</v>
      </c>
      <c r="C37" s="254">
        <v>0</v>
      </c>
      <c r="D37" s="263">
        <v>0.57999999999999996</v>
      </c>
      <c r="E37" s="254">
        <v>0.57999999999999996</v>
      </c>
      <c r="F37" s="252">
        <v>2673</v>
      </c>
      <c r="G37" s="252" t="s">
        <v>51</v>
      </c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63" t="s">
        <v>1186</v>
      </c>
      <c r="S37" s="252" t="s">
        <v>1123</v>
      </c>
      <c r="T37" s="256" t="s">
        <v>252</v>
      </c>
      <c r="U37" s="258"/>
    </row>
    <row r="38" spans="1:21" x14ac:dyDescent="0.3">
      <c r="A38" s="922" t="s">
        <v>1187</v>
      </c>
      <c r="B38" s="932" t="s">
        <v>1188</v>
      </c>
      <c r="C38" s="261">
        <v>0</v>
      </c>
      <c r="D38" s="265">
        <v>0.17</v>
      </c>
      <c r="E38" s="899">
        <v>0.46</v>
      </c>
      <c r="F38" s="901">
        <v>2825</v>
      </c>
      <c r="G38" s="901" t="s">
        <v>51</v>
      </c>
      <c r="H38" s="901"/>
      <c r="I38" s="941"/>
      <c r="J38" s="941"/>
      <c r="K38" s="901"/>
      <c r="L38" s="901"/>
      <c r="M38" s="901"/>
      <c r="N38" s="901"/>
      <c r="O38" s="901"/>
      <c r="P38" s="901"/>
      <c r="Q38" s="901"/>
      <c r="R38" s="265" t="s">
        <v>1189</v>
      </c>
      <c r="S38" s="901" t="s">
        <v>1123</v>
      </c>
      <c r="T38" s="928" t="s">
        <v>252</v>
      </c>
      <c r="U38" s="929"/>
    </row>
    <row r="39" spans="1:21" ht="73.5" customHeight="1" thickBot="1" x14ac:dyDescent="0.35">
      <c r="A39" s="907"/>
      <c r="B39" s="934"/>
      <c r="C39" s="248">
        <v>0.17</v>
      </c>
      <c r="D39" s="269">
        <v>0.46</v>
      </c>
      <c r="E39" s="935"/>
      <c r="F39" s="903"/>
      <c r="G39" s="903"/>
      <c r="H39" s="903"/>
      <c r="I39" s="942"/>
      <c r="J39" s="942"/>
      <c r="K39" s="903"/>
      <c r="L39" s="903"/>
      <c r="M39" s="903"/>
      <c r="N39" s="903"/>
      <c r="O39" s="903"/>
      <c r="P39" s="903"/>
      <c r="Q39" s="903"/>
      <c r="R39" s="269" t="s">
        <v>1190</v>
      </c>
      <c r="S39" s="903"/>
      <c r="T39" s="919"/>
      <c r="U39" s="930"/>
    </row>
    <row r="40" spans="1:21" x14ac:dyDescent="0.3">
      <c r="A40" s="922" t="s">
        <v>1191</v>
      </c>
      <c r="B40" s="932" t="s">
        <v>1192</v>
      </c>
      <c r="C40" s="261">
        <v>0</v>
      </c>
      <c r="D40" s="265">
        <v>0.55000000000000004</v>
      </c>
      <c r="E40" s="899">
        <v>0.78</v>
      </c>
      <c r="F40" s="260">
        <v>1290</v>
      </c>
      <c r="G40" s="260" t="s">
        <v>51</v>
      </c>
      <c r="H40" s="901"/>
      <c r="I40" s="901"/>
      <c r="J40" s="901"/>
      <c r="K40" s="901"/>
      <c r="L40" s="901"/>
      <c r="M40" s="901"/>
      <c r="N40" s="901"/>
      <c r="O40" s="901"/>
      <c r="P40" s="901"/>
      <c r="Q40" s="901"/>
      <c r="R40" s="899" t="s">
        <v>1193</v>
      </c>
      <c r="S40" s="901" t="s">
        <v>1123</v>
      </c>
      <c r="T40" s="928" t="s">
        <v>252</v>
      </c>
      <c r="U40" s="929"/>
    </row>
    <row r="41" spans="1:21" x14ac:dyDescent="0.3">
      <c r="A41" s="931"/>
      <c r="B41" s="933"/>
      <c r="C41" s="266">
        <v>0.55000000000000004</v>
      </c>
      <c r="D41" s="267">
        <v>0.59</v>
      </c>
      <c r="E41" s="900"/>
      <c r="F41" s="902">
        <v>1150</v>
      </c>
      <c r="G41" s="902" t="s">
        <v>32</v>
      </c>
      <c r="H41" s="902"/>
      <c r="I41" s="902"/>
      <c r="J41" s="902"/>
      <c r="K41" s="902"/>
      <c r="L41" s="902"/>
      <c r="M41" s="902"/>
      <c r="N41" s="902"/>
      <c r="O41" s="902"/>
      <c r="P41" s="902"/>
      <c r="Q41" s="902"/>
      <c r="R41" s="900"/>
      <c r="S41" s="902"/>
      <c r="T41" s="936"/>
      <c r="U41" s="937"/>
    </row>
    <row r="42" spans="1:21" ht="60.75" customHeight="1" thickBot="1" x14ac:dyDescent="0.35">
      <c r="A42" s="907"/>
      <c r="B42" s="934"/>
      <c r="C42" s="248">
        <v>0.59</v>
      </c>
      <c r="D42" s="269">
        <v>0.78</v>
      </c>
      <c r="E42" s="935"/>
      <c r="F42" s="903"/>
      <c r="G42" s="903"/>
      <c r="H42" s="247"/>
      <c r="I42" s="247"/>
      <c r="J42" s="247"/>
      <c r="K42" s="247"/>
      <c r="L42" s="247"/>
      <c r="M42" s="247"/>
      <c r="N42" s="247"/>
      <c r="O42" s="247"/>
      <c r="P42" s="247"/>
      <c r="Q42" s="247"/>
      <c r="R42" s="935"/>
      <c r="S42" s="903"/>
      <c r="T42" s="919"/>
      <c r="U42" s="930"/>
    </row>
    <row r="43" spans="1:21" x14ac:dyDescent="0.3">
      <c r="A43" s="922" t="s">
        <v>1194</v>
      </c>
      <c r="B43" s="932" t="s">
        <v>1195</v>
      </c>
      <c r="C43" s="261">
        <v>0</v>
      </c>
      <c r="D43" s="265">
        <v>1.97</v>
      </c>
      <c r="E43" s="899">
        <v>5.31</v>
      </c>
      <c r="F43" s="901">
        <f>D44*6*1000</f>
        <v>31860</v>
      </c>
      <c r="G43" s="901" t="s">
        <v>32</v>
      </c>
      <c r="H43" s="901"/>
      <c r="I43" s="901"/>
      <c r="J43" s="901"/>
      <c r="K43" s="901"/>
      <c r="L43" s="901"/>
      <c r="M43" s="901"/>
      <c r="N43" s="901"/>
      <c r="O43" s="901"/>
      <c r="P43" s="901"/>
      <c r="Q43" s="901"/>
      <c r="R43" s="265" t="s">
        <v>1196</v>
      </c>
      <c r="S43" s="901"/>
      <c r="T43" s="928" t="s">
        <v>252</v>
      </c>
      <c r="U43" s="943"/>
    </row>
    <row r="44" spans="1:21" ht="70.5" customHeight="1" thickBot="1" x14ac:dyDescent="0.35">
      <c r="A44" s="907"/>
      <c r="B44" s="934"/>
      <c r="C44" s="247">
        <v>1.97</v>
      </c>
      <c r="D44" s="271">
        <v>5.31</v>
      </c>
      <c r="E44" s="935"/>
      <c r="F44" s="903"/>
      <c r="G44" s="903"/>
      <c r="H44" s="903"/>
      <c r="I44" s="903"/>
      <c r="J44" s="903"/>
      <c r="K44" s="903"/>
      <c r="L44" s="903"/>
      <c r="M44" s="903"/>
      <c r="N44" s="903"/>
      <c r="O44" s="903"/>
      <c r="P44" s="903"/>
      <c r="Q44" s="903"/>
      <c r="R44" s="269" t="s">
        <v>1197</v>
      </c>
      <c r="S44" s="903"/>
      <c r="T44" s="919"/>
      <c r="U44" s="921"/>
    </row>
    <row r="45" spans="1:21" x14ac:dyDescent="0.3">
      <c r="A45" s="922" t="s">
        <v>1198</v>
      </c>
      <c r="B45" s="932" t="s">
        <v>1199</v>
      </c>
      <c r="C45" s="938">
        <v>0</v>
      </c>
      <c r="D45" s="941">
        <v>0.31</v>
      </c>
      <c r="E45" s="941">
        <v>0.31</v>
      </c>
      <c r="F45" s="941">
        <f>E45*6*1000</f>
        <v>1859.9999999999998</v>
      </c>
      <c r="G45" s="941" t="s">
        <v>32</v>
      </c>
      <c r="H45" s="901"/>
      <c r="I45" s="901"/>
      <c r="J45" s="901"/>
      <c r="K45" s="901"/>
      <c r="L45" s="901"/>
      <c r="M45" s="901"/>
      <c r="N45" s="901"/>
      <c r="O45" s="901"/>
      <c r="P45" s="901"/>
      <c r="Q45" s="901"/>
      <c r="R45" s="265" t="s">
        <v>1200</v>
      </c>
      <c r="S45" s="901"/>
      <c r="T45" s="928" t="s">
        <v>252</v>
      </c>
      <c r="U45" s="943"/>
    </row>
    <row r="46" spans="1:21" ht="71.25" customHeight="1" thickBot="1" x14ac:dyDescent="0.35">
      <c r="A46" s="907"/>
      <c r="B46" s="934"/>
      <c r="C46" s="939"/>
      <c r="D46" s="942"/>
      <c r="E46" s="942"/>
      <c r="F46" s="942"/>
      <c r="G46" s="942"/>
      <c r="H46" s="903"/>
      <c r="I46" s="903"/>
      <c r="J46" s="903"/>
      <c r="K46" s="903"/>
      <c r="L46" s="903"/>
      <c r="M46" s="903"/>
      <c r="N46" s="903"/>
      <c r="O46" s="903"/>
      <c r="P46" s="903"/>
      <c r="Q46" s="903"/>
      <c r="R46" s="269" t="s">
        <v>1201</v>
      </c>
      <c r="S46" s="903"/>
      <c r="T46" s="919"/>
      <c r="U46" s="921"/>
    </row>
    <row r="47" spans="1:21" x14ac:dyDescent="0.3">
      <c r="A47" s="922" t="s">
        <v>1202</v>
      </c>
      <c r="B47" s="932" t="s">
        <v>1203</v>
      </c>
      <c r="C47" s="261">
        <v>0</v>
      </c>
      <c r="D47" s="261">
        <v>0.59</v>
      </c>
      <c r="E47" s="899">
        <v>1.8</v>
      </c>
      <c r="F47" s="901">
        <f>E47*5*1000</f>
        <v>9000</v>
      </c>
      <c r="G47" s="901" t="s">
        <v>32</v>
      </c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5" t="s">
        <v>1204</v>
      </c>
      <c r="S47" s="928"/>
      <c r="T47" s="928" t="s">
        <v>252</v>
      </c>
      <c r="U47" s="929"/>
    </row>
    <row r="48" spans="1:21" x14ac:dyDescent="0.3">
      <c r="A48" s="931"/>
      <c r="B48" s="933"/>
      <c r="C48" s="900">
        <v>0.59</v>
      </c>
      <c r="D48" s="900">
        <v>1.05</v>
      </c>
      <c r="E48" s="900"/>
      <c r="F48" s="902"/>
      <c r="G48" s="902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67" t="s">
        <v>1205</v>
      </c>
      <c r="S48" s="936"/>
      <c r="T48" s="936"/>
      <c r="U48" s="937"/>
    </row>
    <row r="49" spans="1:21" x14ac:dyDescent="0.3">
      <c r="A49" s="931"/>
      <c r="B49" s="933"/>
      <c r="C49" s="900"/>
      <c r="D49" s="900"/>
      <c r="E49" s="900"/>
      <c r="F49" s="902"/>
      <c r="G49" s="902"/>
      <c r="H49" s="268"/>
      <c r="I49" s="268"/>
      <c r="J49" s="268"/>
      <c r="K49" s="268"/>
      <c r="L49" s="268"/>
      <c r="M49" s="268"/>
      <c r="N49" s="268"/>
      <c r="O49" s="268"/>
      <c r="P49" s="268"/>
      <c r="Q49" s="268"/>
      <c r="R49" s="267" t="s">
        <v>1206</v>
      </c>
      <c r="S49" s="936"/>
      <c r="T49" s="936"/>
      <c r="U49" s="937"/>
    </row>
    <row r="50" spans="1:21" x14ac:dyDescent="0.3">
      <c r="A50" s="931"/>
      <c r="B50" s="933"/>
      <c r="C50" s="900"/>
      <c r="D50" s="900"/>
      <c r="E50" s="900"/>
      <c r="F50" s="902"/>
      <c r="G50" s="902"/>
      <c r="H50" s="268"/>
      <c r="I50" s="268"/>
      <c r="J50" s="268"/>
      <c r="K50" s="268"/>
      <c r="L50" s="268"/>
      <c r="M50" s="268"/>
      <c r="N50" s="268"/>
      <c r="O50" s="268"/>
      <c r="P50" s="268"/>
      <c r="Q50" s="268"/>
      <c r="R50" s="267" t="s">
        <v>1207</v>
      </c>
      <c r="S50" s="936"/>
      <c r="T50" s="936"/>
      <c r="U50" s="937"/>
    </row>
    <row r="51" spans="1:21" x14ac:dyDescent="0.3">
      <c r="A51" s="931"/>
      <c r="B51" s="933"/>
      <c r="C51" s="266">
        <v>1.05</v>
      </c>
      <c r="D51" s="266">
        <v>1.1399999999999999</v>
      </c>
      <c r="E51" s="900"/>
      <c r="F51" s="902"/>
      <c r="G51" s="902"/>
      <c r="H51" s="268"/>
      <c r="I51" s="268"/>
      <c r="J51" s="268"/>
      <c r="K51" s="268"/>
      <c r="L51" s="268"/>
      <c r="M51" s="268"/>
      <c r="N51" s="268"/>
      <c r="O51" s="268"/>
      <c r="P51" s="268"/>
      <c r="Q51" s="268"/>
      <c r="R51" s="267" t="s">
        <v>1208</v>
      </c>
      <c r="S51" s="936"/>
      <c r="T51" s="936"/>
      <c r="U51" s="937"/>
    </row>
    <row r="52" spans="1:21" x14ac:dyDescent="0.3">
      <c r="A52" s="931"/>
      <c r="B52" s="933"/>
      <c r="C52" s="266">
        <v>1.1399999999999999</v>
      </c>
      <c r="D52" s="266">
        <v>1.47</v>
      </c>
      <c r="E52" s="900"/>
      <c r="F52" s="902"/>
      <c r="G52" s="902"/>
      <c r="H52" s="268"/>
      <c r="I52" s="268"/>
      <c r="J52" s="268"/>
      <c r="K52" s="268"/>
      <c r="L52" s="268"/>
      <c r="M52" s="268"/>
      <c r="N52" s="268"/>
      <c r="O52" s="268"/>
      <c r="P52" s="268"/>
      <c r="Q52" s="268"/>
      <c r="R52" s="267" t="s">
        <v>1209</v>
      </c>
      <c r="S52" s="936"/>
      <c r="T52" s="936"/>
      <c r="U52" s="937"/>
    </row>
    <row r="53" spans="1:21" x14ac:dyDescent="0.3">
      <c r="A53" s="931"/>
      <c r="B53" s="933"/>
      <c r="C53" s="266">
        <v>1.47</v>
      </c>
      <c r="D53" s="266">
        <v>1.63</v>
      </c>
      <c r="E53" s="900"/>
      <c r="F53" s="902"/>
      <c r="G53" s="902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7" t="s">
        <v>1210</v>
      </c>
      <c r="S53" s="936"/>
      <c r="T53" s="936"/>
      <c r="U53" s="937"/>
    </row>
    <row r="54" spans="1:21" x14ac:dyDescent="0.3">
      <c r="A54" s="931"/>
      <c r="B54" s="933"/>
      <c r="C54" s="900">
        <v>1.63</v>
      </c>
      <c r="D54" s="900">
        <v>1.8</v>
      </c>
      <c r="E54" s="900"/>
      <c r="F54" s="902"/>
      <c r="G54" s="902"/>
      <c r="H54" s="268"/>
      <c r="I54" s="268"/>
      <c r="J54" s="268"/>
      <c r="K54" s="268"/>
      <c r="L54" s="268"/>
      <c r="M54" s="268"/>
      <c r="N54" s="268"/>
      <c r="O54" s="268"/>
      <c r="P54" s="268"/>
      <c r="Q54" s="268"/>
      <c r="R54" s="267" t="s">
        <v>1211</v>
      </c>
      <c r="S54" s="936"/>
      <c r="T54" s="936"/>
      <c r="U54" s="937"/>
    </row>
    <row r="55" spans="1:21" ht="15" thickBot="1" x14ac:dyDescent="0.35">
      <c r="A55" s="907"/>
      <c r="B55" s="934"/>
      <c r="C55" s="935"/>
      <c r="D55" s="935"/>
      <c r="E55" s="935"/>
      <c r="F55" s="903"/>
      <c r="G55" s="903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69" t="s">
        <v>1212</v>
      </c>
      <c r="S55" s="919"/>
      <c r="T55" s="919"/>
      <c r="U55" s="930"/>
    </row>
    <row r="56" spans="1:21" x14ac:dyDescent="0.3">
      <c r="A56" s="922" t="s">
        <v>1213</v>
      </c>
      <c r="B56" s="932" t="s">
        <v>46</v>
      </c>
      <c r="C56" s="265">
        <v>0</v>
      </c>
      <c r="D56" s="261">
        <v>0.37</v>
      </c>
      <c r="E56" s="899">
        <v>1.05</v>
      </c>
      <c r="F56" s="260">
        <f>D56*4.5*1000</f>
        <v>1665</v>
      </c>
      <c r="G56" s="260" t="s">
        <v>29</v>
      </c>
      <c r="H56" s="901"/>
      <c r="I56" s="941"/>
      <c r="J56" s="901"/>
      <c r="K56" s="901"/>
      <c r="L56" s="901"/>
      <c r="M56" s="901"/>
      <c r="N56" s="901"/>
      <c r="O56" s="901"/>
      <c r="P56" s="901"/>
      <c r="Q56" s="901"/>
      <c r="R56" s="899" t="s">
        <v>1214</v>
      </c>
      <c r="S56" s="901"/>
      <c r="T56" s="928" t="s">
        <v>252</v>
      </c>
      <c r="U56" s="929" t="s">
        <v>1215</v>
      </c>
    </row>
    <row r="57" spans="1:21" ht="83.25" customHeight="1" thickBot="1" x14ac:dyDescent="0.35">
      <c r="A57" s="907"/>
      <c r="B57" s="934"/>
      <c r="C57" s="269">
        <v>0.37</v>
      </c>
      <c r="D57" s="269">
        <v>1.05</v>
      </c>
      <c r="E57" s="935"/>
      <c r="F57" s="271">
        <f>D57*5*1000</f>
        <v>5250</v>
      </c>
      <c r="G57" s="271" t="s">
        <v>32</v>
      </c>
      <c r="H57" s="903"/>
      <c r="I57" s="942"/>
      <c r="J57" s="903"/>
      <c r="K57" s="903"/>
      <c r="L57" s="903"/>
      <c r="M57" s="903"/>
      <c r="N57" s="903"/>
      <c r="O57" s="903"/>
      <c r="P57" s="903"/>
      <c r="Q57" s="903"/>
      <c r="R57" s="935"/>
      <c r="S57" s="903"/>
      <c r="T57" s="919"/>
      <c r="U57" s="930"/>
    </row>
    <row r="58" spans="1:21" x14ac:dyDescent="0.3">
      <c r="A58" s="922" t="s">
        <v>1216</v>
      </c>
      <c r="B58" s="932" t="s">
        <v>1217</v>
      </c>
      <c r="C58" s="261">
        <v>0</v>
      </c>
      <c r="D58" s="261">
        <v>1.65</v>
      </c>
      <c r="E58" s="899">
        <v>5.79</v>
      </c>
      <c r="F58" s="901">
        <f>E58*7*1000</f>
        <v>40530</v>
      </c>
      <c r="G58" s="941" t="s">
        <v>32</v>
      </c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5" t="s">
        <v>1218</v>
      </c>
      <c r="S58" s="928"/>
      <c r="T58" s="928" t="s">
        <v>252</v>
      </c>
      <c r="U58" s="943"/>
    </row>
    <row r="59" spans="1:21" x14ac:dyDescent="0.3">
      <c r="A59" s="931"/>
      <c r="B59" s="933"/>
      <c r="C59" s="266">
        <v>1.65</v>
      </c>
      <c r="D59" s="266">
        <v>1.7</v>
      </c>
      <c r="E59" s="900"/>
      <c r="F59" s="902"/>
      <c r="G59" s="944"/>
      <c r="H59" s="268"/>
      <c r="I59" s="268"/>
      <c r="J59" s="268"/>
      <c r="K59" s="268"/>
      <c r="L59" s="268"/>
      <c r="M59" s="268"/>
      <c r="N59" s="268"/>
      <c r="O59" s="268"/>
      <c r="P59" s="268"/>
      <c r="Q59" s="268"/>
      <c r="R59" s="267" t="s">
        <v>1219</v>
      </c>
      <c r="S59" s="936"/>
      <c r="T59" s="936"/>
      <c r="U59" s="946"/>
    </row>
    <row r="60" spans="1:21" x14ac:dyDescent="0.3">
      <c r="A60" s="931"/>
      <c r="B60" s="933"/>
      <c r="C60" s="266">
        <v>1.7</v>
      </c>
      <c r="D60" s="266">
        <v>4.6500000000000004</v>
      </c>
      <c r="E60" s="900"/>
      <c r="F60" s="902"/>
      <c r="G60" s="944"/>
      <c r="H60" s="268"/>
      <c r="I60" s="268"/>
      <c r="J60" s="268"/>
      <c r="K60" s="268"/>
      <c r="L60" s="268"/>
      <c r="M60" s="268"/>
      <c r="N60" s="268"/>
      <c r="O60" s="268"/>
      <c r="P60" s="268"/>
      <c r="Q60" s="268"/>
      <c r="R60" s="267" t="s">
        <v>1220</v>
      </c>
      <c r="S60" s="936"/>
      <c r="T60" s="936"/>
      <c r="U60" s="946"/>
    </row>
    <row r="61" spans="1:21" x14ac:dyDescent="0.3">
      <c r="A61" s="931"/>
      <c r="B61" s="933"/>
      <c r="C61" s="900">
        <v>4.6500000000000004</v>
      </c>
      <c r="D61" s="900">
        <v>5.79</v>
      </c>
      <c r="E61" s="900"/>
      <c r="F61" s="902"/>
      <c r="G61" s="944"/>
      <c r="H61" s="268"/>
      <c r="I61" s="268"/>
      <c r="J61" s="268"/>
      <c r="K61" s="268"/>
      <c r="L61" s="268"/>
      <c r="M61" s="268"/>
      <c r="N61" s="268"/>
      <c r="O61" s="268"/>
      <c r="P61" s="268"/>
      <c r="Q61" s="268"/>
      <c r="R61" s="267" t="s">
        <v>1221</v>
      </c>
      <c r="S61" s="936"/>
      <c r="T61" s="936"/>
      <c r="U61" s="946"/>
    </row>
    <row r="62" spans="1:21" x14ac:dyDescent="0.3">
      <c r="A62" s="931"/>
      <c r="B62" s="933"/>
      <c r="C62" s="900"/>
      <c r="D62" s="900"/>
      <c r="E62" s="900"/>
      <c r="F62" s="902"/>
      <c r="G62" s="944"/>
      <c r="H62" s="268"/>
      <c r="I62" s="268"/>
      <c r="J62" s="268"/>
      <c r="K62" s="268"/>
      <c r="L62" s="268"/>
      <c r="M62" s="268"/>
      <c r="N62" s="268"/>
      <c r="O62" s="268"/>
      <c r="P62" s="268"/>
      <c r="Q62" s="268"/>
      <c r="R62" s="267" t="s">
        <v>1222</v>
      </c>
      <c r="S62" s="936"/>
      <c r="T62" s="936"/>
      <c r="U62" s="946"/>
    </row>
    <row r="63" spans="1:21" x14ac:dyDescent="0.3">
      <c r="A63" s="931"/>
      <c r="B63" s="933"/>
      <c r="C63" s="900"/>
      <c r="D63" s="900"/>
      <c r="E63" s="900"/>
      <c r="F63" s="902"/>
      <c r="G63" s="944"/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267" t="s">
        <v>1223</v>
      </c>
      <c r="S63" s="936"/>
      <c r="T63" s="936"/>
      <c r="U63" s="946"/>
    </row>
    <row r="64" spans="1:21" x14ac:dyDescent="0.3">
      <c r="A64" s="931"/>
      <c r="B64" s="933"/>
      <c r="C64" s="900"/>
      <c r="D64" s="900"/>
      <c r="E64" s="900"/>
      <c r="F64" s="902"/>
      <c r="G64" s="944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7" t="s">
        <v>1224</v>
      </c>
      <c r="S64" s="936"/>
      <c r="T64" s="936"/>
      <c r="U64" s="946"/>
    </row>
    <row r="65" spans="1:21" x14ac:dyDescent="0.3">
      <c r="A65" s="931"/>
      <c r="B65" s="933"/>
      <c r="C65" s="900"/>
      <c r="D65" s="900"/>
      <c r="E65" s="900"/>
      <c r="F65" s="902"/>
      <c r="G65" s="944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7" t="s">
        <v>1225</v>
      </c>
      <c r="S65" s="936"/>
      <c r="T65" s="936"/>
      <c r="U65" s="946"/>
    </row>
    <row r="66" spans="1:21" ht="15" thickBot="1" x14ac:dyDescent="0.35">
      <c r="A66" s="907"/>
      <c r="B66" s="934"/>
      <c r="C66" s="935"/>
      <c r="D66" s="935"/>
      <c r="E66" s="935"/>
      <c r="F66" s="903"/>
      <c r="G66" s="942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69" t="s">
        <v>1226</v>
      </c>
      <c r="S66" s="919"/>
      <c r="T66" s="919"/>
      <c r="U66" s="921"/>
    </row>
    <row r="67" spans="1:21" x14ac:dyDescent="0.3">
      <c r="A67" s="922" t="s">
        <v>1227</v>
      </c>
      <c r="B67" s="932" t="s">
        <v>1228</v>
      </c>
      <c r="C67" s="265">
        <v>0</v>
      </c>
      <c r="D67" s="265">
        <v>0.35</v>
      </c>
      <c r="E67" s="899">
        <v>0.71</v>
      </c>
      <c r="F67" s="901">
        <f>E67*6*1000</f>
        <v>4260</v>
      </c>
      <c r="G67" s="901" t="s">
        <v>32</v>
      </c>
      <c r="H67" s="260"/>
      <c r="I67" s="260"/>
      <c r="J67" s="260"/>
      <c r="K67" s="260"/>
      <c r="L67" s="260"/>
      <c r="M67" s="260"/>
      <c r="N67" s="260"/>
      <c r="O67" s="260"/>
      <c r="P67" s="260"/>
      <c r="Q67" s="260"/>
      <c r="R67" s="261" t="s">
        <v>1229</v>
      </c>
      <c r="S67" s="927"/>
      <c r="T67" s="928" t="s">
        <v>252</v>
      </c>
      <c r="U67" s="929" t="s">
        <v>1215</v>
      </c>
    </row>
    <row r="68" spans="1:21" x14ac:dyDescent="0.3">
      <c r="A68" s="931"/>
      <c r="B68" s="933"/>
      <c r="C68" s="940">
        <v>0.35</v>
      </c>
      <c r="D68" s="940">
        <v>0.44</v>
      </c>
      <c r="E68" s="900"/>
      <c r="F68" s="902"/>
      <c r="G68" s="902"/>
      <c r="H68" s="268"/>
      <c r="I68" s="268"/>
      <c r="J68" s="268"/>
      <c r="K68" s="268"/>
      <c r="L68" s="268"/>
      <c r="M68" s="268"/>
      <c r="N68" s="268"/>
      <c r="O68" s="268"/>
      <c r="P68" s="268"/>
      <c r="Q68" s="268"/>
      <c r="R68" s="266" t="s">
        <v>1229</v>
      </c>
      <c r="S68" s="947"/>
      <c r="T68" s="936"/>
      <c r="U68" s="937"/>
    </row>
    <row r="69" spans="1:21" x14ac:dyDescent="0.3">
      <c r="A69" s="931"/>
      <c r="B69" s="933"/>
      <c r="C69" s="940"/>
      <c r="D69" s="940"/>
      <c r="E69" s="900"/>
      <c r="F69" s="902"/>
      <c r="G69" s="902"/>
      <c r="H69" s="268"/>
      <c r="I69" s="268"/>
      <c r="J69" s="268"/>
      <c r="K69" s="268"/>
      <c r="L69" s="268"/>
      <c r="M69" s="268"/>
      <c r="N69" s="268"/>
      <c r="O69" s="268"/>
      <c r="P69" s="268"/>
      <c r="Q69" s="268"/>
      <c r="R69" s="266" t="s">
        <v>1230</v>
      </c>
      <c r="S69" s="947"/>
      <c r="T69" s="936"/>
      <c r="U69" s="937"/>
    </row>
    <row r="70" spans="1:21" x14ac:dyDescent="0.3">
      <c r="A70" s="931"/>
      <c r="B70" s="933"/>
      <c r="C70" s="267">
        <v>0.44</v>
      </c>
      <c r="D70" s="267">
        <v>0.64</v>
      </c>
      <c r="E70" s="900"/>
      <c r="F70" s="902"/>
      <c r="G70" s="902"/>
      <c r="H70" s="268"/>
      <c r="I70" s="268"/>
      <c r="J70" s="268"/>
      <c r="K70" s="268"/>
      <c r="L70" s="268"/>
      <c r="M70" s="268"/>
      <c r="N70" s="268"/>
      <c r="O70" s="268"/>
      <c r="P70" s="268"/>
      <c r="Q70" s="268"/>
      <c r="R70" s="266" t="s">
        <v>1231</v>
      </c>
      <c r="S70" s="947"/>
      <c r="T70" s="936"/>
      <c r="U70" s="937"/>
    </row>
    <row r="71" spans="1:21" x14ac:dyDescent="0.3">
      <c r="A71" s="931"/>
      <c r="B71" s="933"/>
      <c r="C71" s="940">
        <v>0.64</v>
      </c>
      <c r="D71" s="940">
        <v>0.71</v>
      </c>
      <c r="E71" s="900"/>
      <c r="F71" s="902"/>
      <c r="G71" s="902"/>
      <c r="H71" s="268"/>
      <c r="I71" s="268"/>
      <c r="J71" s="268"/>
      <c r="K71" s="268"/>
      <c r="L71" s="268"/>
      <c r="M71" s="268"/>
      <c r="N71" s="268"/>
      <c r="O71" s="268"/>
      <c r="P71" s="268"/>
      <c r="Q71" s="268"/>
      <c r="R71" s="266" t="s">
        <v>1232</v>
      </c>
      <c r="S71" s="947"/>
      <c r="T71" s="936"/>
      <c r="U71" s="937"/>
    </row>
    <row r="72" spans="1:21" ht="15" thickBot="1" x14ac:dyDescent="0.35">
      <c r="A72" s="907"/>
      <c r="B72" s="934"/>
      <c r="C72" s="939"/>
      <c r="D72" s="939"/>
      <c r="E72" s="935"/>
      <c r="F72" s="903"/>
      <c r="G72" s="903"/>
      <c r="H72" s="247"/>
      <c r="I72" s="247"/>
      <c r="J72" s="247"/>
      <c r="K72" s="247"/>
      <c r="L72" s="247"/>
      <c r="M72" s="247"/>
      <c r="N72" s="247"/>
      <c r="O72" s="247"/>
      <c r="P72" s="247"/>
      <c r="Q72" s="247"/>
      <c r="R72" s="248" t="s">
        <v>1233</v>
      </c>
      <c r="S72" s="917"/>
      <c r="T72" s="919"/>
      <c r="U72" s="930"/>
    </row>
    <row r="73" spans="1:21" ht="48.6" thickBot="1" x14ac:dyDescent="0.35">
      <c r="A73" s="249" t="s">
        <v>1234</v>
      </c>
      <c r="B73" s="264" t="s">
        <v>1235</v>
      </c>
      <c r="C73" s="263">
        <v>0</v>
      </c>
      <c r="D73" s="263">
        <v>0.17</v>
      </c>
      <c r="E73" s="263">
        <v>0.17</v>
      </c>
      <c r="F73" s="65">
        <f>E73*3.5*1000</f>
        <v>595.00000000000011</v>
      </c>
      <c r="G73" s="65" t="s">
        <v>32</v>
      </c>
      <c r="H73" s="252"/>
      <c r="I73" s="65"/>
      <c r="J73" s="252"/>
      <c r="K73" s="252"/>
      <c r="L73" s="252"/>
      <c r="M73" s="252"/>
      <c r="N73" s="252"/>
      <c r="O73" s="252"/>
      <c r="P73" s="252"/>
      <c r="Q73" s="252"/>
      <c r="R73" s="254" t="s">
        <v>1236</v>
      </c>
      <c r="S73" s="252" t="s">
        <v>1123</v>
      </c>
      <c r="T73" s="256" t="s">
        <v>252</v>
      </c>
      <c r="U73" s="258" t="s">
        <v>1215</v>
      </c>
    </row>
    <row r="74" spans="1:21" x14ac:dyDescent="0.3">
      <c r="A74" s="922" t="s">
        <v>1237</v>
      </c>
      <c r="B74" s="923" t="s">
        <v>1238</v>
      </c>
      <c r="C74" s="261">
        <v>0</v>
      </c>
      <c r="D74" s="265">
        <v>0.46</v>
      </c>
      <c r="E74" s="899">
        <v>0.74</v>
      </c>
      <c r="F74" s="901">
        <v>1105</v>
      </c>
      <c r="G74" s="901" t="s">
        <v>32</v>
      </c>
      <c r="H74" s="260"/>
      <c r="I74" s="260"/>
      <c r="J74" s="260"/>
      <c r="K74" s="260"/>
      <c r="L74" s="260"/>
      <c r="M74" s="260"/>
      <c r="N74" s="260"/>
      <c r="O74" s="260"/>
      <c r="P74" s="260"/>
      <c r="Q74" s="260"/>
      <c r="R74" s="261" t="s">
        <v>1239</v>
      </c>
      <c r="S74" s="927" t="s">
        <v>1123</v>
      </c>
      <c r="T74" s="928" t="s">
        <v>252</v>
      </c>
      <c r="U74" s="929"/>
    </row>
    <row r="75" spans="1:21" x14ac:dyDescent="0.3">
      <c r="A75" s="931"/>
      <c r="B75" s="945"/>
      <c r="C75" s="266">
        <v>0.46</v>
      </c>
      <c r="D75" s="267">
        <v>0.52</v>
      </c>
      <c r="E75" s="900"/>
      <c r="F75" s="902"/>
      <c r="G75" s="902"/>
      <c r="H75" s="268"/>
      <c r="I75" s="268"/>
      <c r="J75" s="268"/>
      <c r="K75" s="268"/>
      <c r="L75" s="268"/>
      <c r="M75" s="268"/>
      <c r="N75" s="268"/>
      <c r="O75" s="268"/>
      <c r="P75" s="268"/>
      <c r="Q75" s="274"/>
      <c r="R75" s="266" t="s">
        <v>1240</v>
      </c>
      <c r="S75" s="947"/>
      <c r="T75" s="936"/>
      <c r="U75" s="937"/>
    </row>
    <row r="76" spans="1:21" x14ac:dyDescent="0.3">
      <c r="A76" s="931"/>
      <c r="B76" s="945"/>
      <c r="C76" s="900">
        <v>0.52</v>
      </c>
      <c r="D76" s="940">
        <v>0.17</v>
      </c>
      <c r="E76" s="900"/>
      <c r="F76" s="902">
        <v>1105</v>
      </c>
      <c r="G76" s="902" t="s">
        <v>51</v>
      </c>
      <c r="H76" s="268"/>
      <c r="I76" s="268"/>
      <c r="J76" s="268"/>
      <c r="K76" s="268"/>
      <c r="L76" s="268"/>
      <c r="M76" s="268"/>
      <c r="N76" s="268"/>
      <c r="O76" s="268"/>
      <c r="P76" s="268"/>
      <c r="Q76" s="274"/>
      <c r="R76" s="266" t="s">
        <v>1241</v>
      </c>
      <c r="S76" s="947"/>
      <c r="T76" s="936"/>
      <c r="U76" s="937"/>
    </row>
    <row r="77" spans="1:21" x14ac:dyDescent="0.3">
      <c r="A77" s="931"/>
      <c r="B77" s="945"/>
      <c r="C77" s="900"/>
      <c r="D77" s="940"/>
      <c r="E77" s="900"/>
      <c r="F77" s="902"/>
      <c r="G77" s="902"/>
      <c r="H77" s="268"/>
      <c r="I77" s="268"/>
      <c r="J77" s="268"/>
      <c r="K77" s="268"/>
      <c r="L77" s="268"/>
      <c r="M77" s="268"/>
      <c r="N77" s="268"/>
      <c r="O77" s="268"/>
      <c r="P77" s="268"/>
      <c r="Q77" s="274"/>
      <c r="R77" s="266" t="s">
        <v>1242</v>
      </c>
      <c r="S77" s="947"/>
      <c r="T77" s="936"/>
      <c r="U77" s="937"/>
    </row>
    <row r="78" spans="1:21" ht="15" thickBot="1" x14ac:dyDescent="0.35">
      <c r="A78" s="907"/>
      <c r="B78" s="924"/>
      <c r="C78" s="248">
        <v>0.69</v>
      </c>
      <c r="D78" s="269">
        <v>0.74</v>
      </c>
      <c r="E78" s="935"/>
      <c r="F78" s="247">
        <v>2400</v>
      </c>
      <c r="G78" s="247" t="s">
        <v>32</v>
      </c>
      <c r="H78" s="247"/>
      <c r="I78" s="247"/>
      <c r="J78" s="247"/>
      <c r="K78" s="247"/>
      <c r="L78" s="247"/>
      <c r="M78" s="247"/>
      <c r="N78" s="247"/>
      <c r="O78" s="247"/>
      <c r="P78" s="247"/>
      <c r="Q78" s="247"/>
      <c r="R78" s="248" t="s">
        <v>1242</v>
      </c>
      <c r="S78" s="917"/>
      <c r="T78" s="919"/>
      <c r="U78" s="930"/>
    </row>
    <row r="79" spans="1:21" x14ac:dyDescent="0.3">
      <c r="A79" s="922" t="s">
        <v>1243</v>
      </c>
      <c r="B79" s="932" t="s">
        <v>1244</v>
      </c>
      <c r="C79" s="261">
        <v>0</v>
      </c>
      <c r="D79" s="265">
        <v>0.37</v>
      </c>
      <c r="E79" s="899">
        <v>0.55000000000000004</v>
      </c>
      <c r="F79" s="901">
        <v>2240</v>
      </c>
      <c r="G79" s="901" t="s">
        <v>51</v>
      </c>
      <c r="H79" s="260"/>
      <c r="I79" s="270"/>
      <c r="J79" s="260"/>
      <c r="K79" s="260"/>
      <c r="L79" s="260"/>
      <c r="M79" s="260"/>
      <c r="N79" s="260"/>
      <c r="O79" s="260"/>
      <c r="P79" s="260"/>
      <c r="Q79" s="260"/>
      <c r="R79" s="261" t="s">
        <v>1245</v>
      </c>
      <c r="S79" s="901" t="s">
        <v>1123</v>
      </c>
      <c r="T79" s="928" t="s">
        <v>252</v>
      </c>
      <c r="U79" s="929"/>
    </row>
    <row r="80" spans="1:21" ht="68.25" customHeight="1" thickBot="1" x14ac:dyDescent="0.35">
      <c r="A80" s="907"/>
      <c r="B80" s="934"/>
      <c r="C80" s="248">
        <v>0.37</v>
      </c>
      <c r="D80" s="269">
        <v>0.55000000000000004</v>
      </c>
      <c r="E80" s="935"/>
      <c r="F80" s="903"/>
      <c r="G80" s="903"/>
      <c r="H80" s="247"/>
      <c r="I80" s="271"/>
      <c r="J80" s="247"/>
      <c r="K80" s="247"/>
      <c r="L80" s="247"/>
      <c r="M80" s="247"/>
      <c r="N80" s="247"/>
      <c r="O80" s="247"/>
      <c r="P80" s="247"/>
      <c r="Q80" s="247"/>
      <c r="R80" s="248" t="s">
        <v>1246</v>
      </c>
      <c r="S80" s="903"/>
      <c r="T80" s="919"/>
      <c r="U80" s="930"/>
    </row>
    <row r="81" spans="1:21" ht="48.6" thickBot="1" x14ac:dyDescent="0.35">
      <c r="A81" s="249" t="s">
        <v>1247</v>
      </c>
      <c r="B81" s="264" t="s">
        <v>1248</v>
      </c>
      <c r="C81" s="263">
        <v>0</v>
      </c>
      <c r="D81" s="263">
        <v>0.36</v>
      </c>
      <c r="E81" s="263">
        <v>0.36</v>
      </c>
      <c r="F81" s="252">
        <v>1109.9999999999998</v>
      </c>
      <c r="G81" s="252" t="s">
        <v>51</v>
      </c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4" t="s">
        <v>1249</v>
      </c>
      <c r="S81" s="255" t="s">
        <v>1123</v>
      </c>
      <c r="T81" s="256" t="s">
        <v>252</v>
      </c>
      <c r="U81" s="66"/>
    </row>
    <row r="82" spans="1:21" ht="48.6" thickBot="1" x14ac:dyDescent="0.35">
      <c r="A82" s="249" t="s">
        <v>1250</v>
      </c>
      <c r="B82" s="264" t="s">
        <v>1251</v>
      </c>
      <c r="C82" s="263">
        <v>0</v>
      </c>
      <c r="D82" s="263">
        <v>0.21</v>
      </c>
      <c r="E82" s="263">
        <v>0.21</v>
      </c>
      <c r="F82" s="252">
        <v>900</v>
      </c>
      <c r="G82" s="252" t="s">
        <v>32</v>
      </c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63" t="s">
        <v>1252</v>
      </c>
      <c r="S82" s="255" t="s">
        <v>1123</v>
      </c>
      <c r="T82" s="256" t="s">
        <v>252</v>
      </c>
      <c r="U82" s="66"/>
    </row>
    <row r="83" spans="1:21" ht="48.6" thickBot="1" x14ac:dyDescent="0.35">
      <c r="A83" s="249" t="s">
        <v>1253</v>
      </c>
      <c r="B83" s="264" t="s">
        <v>1254</v>
      </c>
      <c r="C83" s="263">
        <v>0</v>
      </c>
      <c r="D83" s="263">
        <v>0.09</v>
      </c>
      <c r="E83" s="263">
        <v>0.09</v>
      </c>
      <c r="F83" s="252">
        <v>440</v>
      </c>
      <c r="G83" s="252" t="s">
        <v>32</v>
      </c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63" t="s">
        <v>1255</v>
      </c>
      <c r="S83" s="255" t="s">
        <v>1123</v>
      </c>
      <c r="T83" s="256" t="s">
        <v>252</v>
      </c>
      <c r="U83" s="66"/>
    </row>
    <row r="84" spans="1:21" x14ac:dyDescent="0.3">
      <c r="A84" s="922" t="s">
        <v>1256</v>
      </c>
      <c r="B84" s="932" t="s">
        <v>405</v>
      </c>
      <c r="C84" s="261">
        <v>0</v>
      </c>
      <c r="D84" s="265">
        <v>0.28999999999999998</v>
      </c>
      <c r="E84" s="899">
        <v>0.49</v>
      </c>
      <c r="F84" s="901">
        <v>1529.9999999999998</v>
      </c>
      <c r="G84" s="901" t="s">
        <v>32</v>
      </c>
      <c r="H84" s="260"/>
      <c r="I84" s="260"/>
      <c r="J84" s="260"/>
      <c r="K84" s="260"/>
      <c r="L84" s="260"/>
      <c r="M84" s="260"/>
      <c r="N84" s="260"/>
      <c r="O84" s="260"/>
      <c r="P84" s="260"/>
      <c r="Q84" s="260"/>
      <c r="R84" s="265" t="s">
        <v>1257</v>
      </c>
      <c r="S84" s="901" t="s">
        <v>1123</v>
      </c>
      <c r="T84" s="928" t="s">
        <v>252</v>
      </c>
      <c r="U84" s="943"/>
    </row>
    <row r="85" spans="1:21" x14ac:dyDescent="0.3">
      <c r="A85" s="931"/>
      <c r="B85" s="933"/>
      <c r="C85" s="266">
        <v>0.28999999999999998</v>
      </c>
      <c r="D85" s="267">
        <v>0.44</v>
      </c>
      <c r="E85" s="900"/>
      <c r="F85" s="902"/>
      <c r="G85" s="902"/>
      <c r="H85" s="268"/>
      <c r="I85" s="268"/>
      <c r="J85" s="268"/>
      <c r="K85" s="268"/>
      <c r="L85" s="268"/>
      <c r="M85" s="268"/>
      <c r="N85" s="268"/>
      <c r="O85" s="268"/>
      <c r="P85" s="268"/>
      <c r="Q85" s="268"/>
      <c r="R85" s="267" t="s">
        <v>1258</v>
      </c>
      <c r="S85" s="902"/>
      <c r="T85" s="936"/>
      <c r="U85" s="946"/>
    </row>
    <row r="86" spans="1:21" x14ac:dyDescent="0.3">
      <c r="A86" s="931"/>
      <c r="B86" s="933"/>
      <c r="C86" s="266">
        <v>0.44</v>
      </c>
      <c r="D86" s="267">
        <v>0.45</v>
      </c>
      <c r="E86" s="900"/>
      <c r="F86" s="902"/>
      <c r="G86" s="902"/>
      <c r="H86" s="268"/>
      <c r="I86" s="268"/>
      <c r="J86" s="268"/>
      <c r="K86" s="268"/>
      <c r="L86" s="268"/>
      <c r="M86" s="268"/>
      <c r="N86" s="268"/>
      <c r="O86" s="268"/>
      <c r="P86" s="268"/>
      <c r="Q86" s="268"/>
      <c r="R86" s="267" t="s">
        <v>1259</v>
      </c>
      <c r="S86" s="902"/>
      <c r="T86" s="936"/>
      <c r="U86" s="946"/>
    </row>
    <row r="87" spans="1:21" ht="38.25" customHeight="1" thickBot="1" x14ac:dyDescent="0.35">
      <c r="A87" s="907"/>
      <c r="B87" s="934"/>
      <c r="C87" s="248">
        <v>0.45</v>
      </c>
      <c r="D87" s="269">
        <v>0.49</v>
      </c>
      <c r="E87" s="935"/>
      <c r="F87" s="903"/>
      <c r="G87" s="903"/>
      <c r="H87" s="247"/>
      <c r="I87" s="247"/>
      <c r="J87" s="247"/>
      <c r="K87" s="247"/>
      <c r="L87" s="247"/>
      <c r="M87" s="247"/>
      <c r="N87" s="247"/>
      <c r="O87" s="247"/>
      <c r="P87" s="247"/>
      <c r="Q87" s="247"/>
      <c r="R87" s="269" t="s">
        <v>1260</v>
      </c>
      <c r="S87" s="903"/>
      <c r="T87" s="919"/>
      <c r="U87" s="921"/>
    </row>
    <row r="88" spans="1:21" x14ac:dyDescent="0.3">
      <c r="A88" s="922" t="s">
        <v>1261</v>
      </c>
      <c r="B88" s="932" t="s">
        <v>240</v>
      </c>
      <c r="C88" s="261">
        <v>0</v>
      </c>
      <c r="D88" s="272">
        <v>0.35</v>
      </c>
      <c r="E88" s="948">
        <v>0.43</v>
      </c>
      <c r="F88" s="275">
        <v>1235.5</v>
      </c>
      <c r="G88" s="260" t="s">
        <v>51</v>
      </c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5" t="s">
        <v>1262</v>
      </c>
      <c r="S88" s="901" t="s">
        <v>1123</v>
      </c>
      <c r="T88" s="928" t="s">
        <v>252</v>
      </c>
      <c r="U88" s="929"/>
    </row>
    <row r="89" spans="1:21" ht="64.5" customHeight="1" thickBot="1" x14ac:dyDescent="0.35">
      <c r="A89" s="907"/>
      <c r="B89" s="934"/>
      <c r="C89" s="276">
        <v>0.35</v>
      </c>
      <c r="D89" s="269">
        <v>0.43</v>
      </c>
      <c r="E89" s="949"/>
      <c r="F89" s="247">
        <v>635</v>
      </c>
      <c r="G89" s="247" t="s">
        <v>32</v>
      </c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69" t="s">
        <v>1257</v>
      </c>
      <c r="S89" s="903"/>
      <c r="T89" s="919"/>
      <c r="U89" s="930"/>
    </row>
    <row r="90" spans="1:21" ht="48.6" thickBot="1" x14ac:dyDescent="0.35">
      <c r="A90" s="249" t="s">
        <v>1263</v>
      </c>
      <c r="B90" s="264" t="s">
        <v>1264</v>
      </c>
      <c r="C90" s="263">
        <v>0</v>
      </c>
      <c r="D90" s="263">
        <v>0.17</v>
      </c>
      <c r="E90" s="263">
        <v>0.17</v>
      </c>
      <c r="F90" s="252">
        <v>809.99999999999989</v>
      </c>
      <c r="G90" s="252" t="s">
        <v>51</v>
      </c>
      <c r="H90" s="252"/>
      <c r="I90" s="252"/>
      <c r="J90" s="252"/>
      <c r="K90" s="252"/>
      <c r="L90" s="252"/>
      <c r="M90" s="252"/>
      <c r="N90" s="252"/>
      <c r="O90" s="252"/>
      <c r="P90" s="252"/>
      <c r="Q90" s="252"/>
      <c r="R90" s="263" t="s">
        <v>1265</v>
      </c>
      <c r="S90" s="255" t="s">
        <v>1123</v>
      </c>
      <c r="T90" s="256" t="s">
        <v>252</v>
      </c>
      <c r="U90" s="66"/>
    </row>
    <row r="91" spans="1:21" ht="48.6" thickBot="1" x14ac:dyDescent="0.35">
      <c r="A91" s="249" t="s">
        <v>1266</v>
      </c>
      <c r="B91" s="264" t="s">
        <v>251</v>
      </c>
      <c r="C91" s="263">
        <v>0</v>
      </c>
      <c r="D91" s="263">
        <v>0.43</v>
      </c>
      <c r="E91" s="263">
        <v>0.43</v>
      </c>
      <c r="F91" s="252">
        <v>3900</v>
      </c>
      <c r="G91" s="252" t="s">
        <v>32</v>
      </c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63" t="s">
        <v>1267</v>
      </c>
      <c r="S91" s="255" t="s">
        <v>1123</v>
      </c>
      <c r="T91" s="256" t="s">
        <v>252</v>
      </c>
      <c r="U91" s="258"/>
    </row>
    <row r="92" spans="1:21" ht="48.6" thickBot="1" x14ac:dyDescent="0.35">
      <c r="A92" s="249" t="s">
        <v>1268</v>
      </c>
      <c r="B92" s="264" t="s">
        <v>230</v>
      </c>
      <c r="C92" s="263">
        <v>0</v>
      </c>
      <c r="D92" s="263">
        <v>0.28999999999999998</v>
      </c>
      <c r="E92" s="263">
        <v>0.28999999999999998</v>
      </c>
      <c r="F92" s="252">
        <v>950</v>
      </c>
      <c r="G92" s="252" t="s">
        <v>51</v>
      </c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63" t="s">
        <v>1269</v>
      </c>
      <c r="S92" s="252" t="s">
        <v>1123</v>
      </c>
      <c r="T92" s="256" t="s">
        <v>252</v>
      </c>
      <c r="U92" s="66"/>
    </row>
    <row r="93" spans="1:21" ht="48.6" thickBot="1" x14ac:dyDescent="0.35">
      <c r="A93" s="249" t="s">
        <v>1270</v>
      </c>
      <c r="B93" s="264" t="s">
        <v>1271</v>
      </c>
      <c r="C93" s="263">
        <v>0</v>
      </c>
      <c r="D93" s="263">
        <v>0.12</v>
      </c>
      <c r="E93" s="263">
        <v>0.12</v>
      </c>
      <c r="F93" s="252">
        <v>390</v>
      </c>
      <c r="G93" s="252" t="s">
        <v>51</v>
      </c>
      <c r="H93" s="252"/>
      <c r="I93" s="252"/>
      <c r="J93" s="252"/>
      <c r="K93" s="252"/>
      <c r="L93" s="252"/>
      <c r="M93" s="252"/>
      <c r="N93" s="252"/>
      <c r="O93" s="252"/>
      <c r="P93" s="252"/>
      <c r="Q93" s="252"/>
      <c r="R93" s="263" t="s">
        <v>1272</v>
      </c>
      <c r="S93" s="255" t="s">
        <v>1123</v>
      </c>
      <c r="T93" s="256" t="s">
        <v>252</v>
      </c>
      <c r="U93" s="66"/>
    </row>
    <row r="94" spans="1:21" ht="48.6" thickBot="1" x14ac:dyDescent="0.35">
      <c r="A94" s="249" t="s">
        <v>1273</v>
      </c>
      <c r="B94" s="264" t="s">
        <v>1274</v>
      </c>
      <c r="C94" s="263">
        <v>0</v>
      </c>
      <c r="D94" s="263">
        <v>0.75</v>
      </c>
      <c r="E94" s="263">
        <v>0.75</v>
      </c>
      <c r="F94" s="252">
        <v>4500</v>
      </c>
      <c r="G94" s="252" t="s">
        <v>32</v>
      </c>
      <c r="H94" s="252"/>
      <c r="I94" s="252"/>
      <c r="J94" s="252"/>
      <c r="K94" s="252"/>
      <c r="L94" s="252"/>
      <c r="M94" s="252"/>
      <c r="N94" s="252"/>
      <c r="O94" s="252"/>
      <c r="P94" s="252"/>
      <c r="Q94" s="252"/>
      <c r="R94" s="263" t="s">
        <v>1275</v>
      </c>
      <c r="S94" s="255" t="s">
        <v>1123</v>
      </c>
      <c r="T94" s="256" t="s">
        <v>252</v>
      </c>
      <c r="U94" s="66"/>
    </row>
    <row r="95" spans="1:21" x14ac:dyDescent="0.3">
      <c r="A95" s="922" t="s">
        <v>1276</v>
      </c>
      <c r="B95" s="932" t="s">
        <v>1277</v>
      </c>
      <c r="C95" s="265">
        <v>0</v>
      </c>
      <c r="D95" s="265">
        <v>0.27</v>
      </c>
      <c r="E95" s="938">
        <v>0.43</v>
      </c>
      <c r="F95" s="260">
        <v>1768</v>
      </c>
      <c r="G95" s="260" t="s">
        <v>51</v>
      </c>
      <c r="H95" s="901"/>
      <c r="I95" s="901"/>
      <c r="J95" s="901"/>
      <c r="K95" s="901"/>
      <c r="L95" s="901"/>
      <c r="M95" s="901"/>
      <c r="N95" s="901"/>
      <c r="O95" s="901"/>
      <c r="P95" s="901"/>
      <c r="Q95" s="901"/>
      <c r="R95" s="938" t="s">
        <v>1278</v>
      </c>
      <c r="S95" s="901" t="s">
        <v>1123</v>
      </c>
      <c r="T95" s="928" t="s">
        <v>252</v>
      </c>
      <c r="U95" s="929"/>
    </row>
    <row r="96" spans="1:21" ht="57.75" customHeight="1" thickBot="1" x14ac:dyDescent="0.35">
      <c r="A96" s="907"/>
      <c r="B96" s="934"/>
      <c r="C96" s="269">
        <v>0.27</v>
      </c>
      <c r="D96" s="269">
        <v>0.43</v>
      </c>
      <c r="E96" s="939"/>
      <c r="F96" s="247">
        <v>825</v>
      </c>
      <c r="G96" s="247" t="s">
        <v>32</v>
      </c>
      <c r="H96" s="903"/>
      <c r="I96" s="903"/>
      <c r="J96" s="903"/>
      <c r="K96" s="903"/>
      <c r="L96" s="903"/>
      <c r="M96" s="903"/>
      <c r="N96" s="903"/>
      <c r="O96" s="903"/>
      <c r="P96" s="903"/>
      <c r="Q96" s="903"/>
      <c r="R96" s="939"/>
      <c r="S96" s="903"/>
      <c r="T96" s="919"/>
      <c r="U96" s="930"/>
    </row>
    <row r="97" spans="1:21" ht="48.6" thickBot="1" x14ac:dyDescent="0.35">
      <c r="A97" s="277" t="s">
        <v>1279</v>
      </c>
      <c r="B97" s="278" t="s">
        <v>1280</v>
      </c>
      <c r="C97" s="279">
        <v>0</v>
      </c>
      <c r="D97" s="279">
        <v>0.11</v>
      </c>
      <c r="E97" s="279">
        <v>0.11</v>
      </c>
      <c r="F97" s="280">
        <v>750</v>
      </c>
      <c r="G97" s="280" t="s">
        <v>32</v>
      </c>
      <c r="H97" s="280"/>
      <c r="I97" s="280"/>
      <c r="J97" s="280"/>
      <c r="K97" s="280"/>
      <c r="L97" s="281"/>
      <c r="M97" s="282"/>
      <c r="N97" s="283"/>
      <c r="O97" s="283"/>
      <c r="P97" s="283"/>
      <c r="Q97" s="283"/>
      <c r="R97" s="284" t="s">
        <v>1281</v>
      </c>
      <c r="S97" s="285" t="s">
        <v>1123</v>
      </c>
      <c r="T97" s="286" t="s">
        <v>252</v>
      </c>
      <c r="U97" s="287"/>
    </row>
    <row r="98" spans="1:21" ht="48.6" thickBot="1" x14ac:dyDescent="0.35">
      <c r="A98" s="249" t="s">
        <v>1282</v>
      </c>
      <c r="B98" s="264" t="s">
        <v>1283</v>
      </c>
      <c r="C98" s="263">
        <v>0</v>
      </c>
      <c r="D98" s="263">
        <v>0.7</v>
      </c>
      <c r="E98" s="263">
        <v>0.7</v>
      </c>
      <c r="F98" s="252">
        <v>4125</v>
      </c>
      <c r="G98" s="252" t="s">
        <v>32</v>
      </c>
      <c r="H98" s="252"/>
      <c r="I98" s="252"/>
      <c r="J98" s="252"/>
      <c r="K98" s="252"/>
      <c r="L98" s="252"/>
      <c r="M98" s="252"/>
      <c r="N98" s="252"/>
      <c r="O98" s="252"/>
      <c r="P98" s="252"/>
      <c r="Q98" s="252"/>
      <c r="R98" s="263" t="s">
        <v>1284</v>
      </c>
      <c r="S98" s="255" t="s">
        <v>1123</v>
      </c>
      <c r="T98" s="256" t="s">
        <v>252</v>
      </c>
      <c r="U98" s="258"/>
    </row>
    <row r="99" spans="1:21" ht="48.6" thickBot="1" x14ac:dyDescent="0.35">
      <c r="A99" s="249" t="s">
        <v>1285</v>
      </c>
      <c r="B99" s="264" t="s">
        <v>1286</v>
      </c>
      <c r="C99" s="263">
        <v>0</v>
      </c>
      <c r="D99" s="263">
        <v>0.11</v>
      </c>
      <c r="E99" s="263">
        <v>0.11</v>
      </c>
      <c r="F99" s="252">
        <v>420</v>
      </c>
      <c r="G99" s="252" t="s">
        <v>51</v>
      </c>
      <c r="H99" s="252"/>
      <c r="I99" s="252"/>
      <c r="J99" s="252"/>
      <c r="K99" s="252"/>
      <c r="L99" s="252"/>
      <c r="M99" s="252"/>
      <c r="N99" s="252"/>
      <c r="O99" s="252"/>
      <c r="P99" s="252"/>
      <c r="Q99" s="252"/>
      <c r="R99" s="263" t="s">
        <v>1287</v>
      </c>
      <c r="S99" s="255" t="s">
        <v>1123</v>
      </c>
      <c r="T99" s="256" t="s">
        <v>252</v>
      </c>
      <c r="U99" s="66"/>
    </row>
    <row r="100" spans="1:21" ht="48.6" thickBot="1" x14ac:dyDescent="0.35">
      <c r="A100" s="249" t="s">
        <v>1288</v>
      </c>
      <c r="B100" s="264" t="s">
        <v>1289</v>
      </c>
      <c r="C100" s="263">
        <v>0</v>
      </c>
      <c r="D100" s="263">
        <v>0.14000000000000001</v>
      </c>
      <c r="E100" s="263">
        <v>0.14000000000000001</v>
      </c>
      <c r="F100" s="252">
        <v>560</v>
      </c>
      <c r="G100" s="252" t="s">
        <v>51</v>
      </c>
      <c r="H100" s="252"/>
      <c r="I100" s="252"/>
      <c r="J100" s="252"/>
      <c r="K100" s="252"/>
      <c r="L100" s="252"/>
      <c r="M100" s="252"/>
      <c r="N100" s="252"/>
      <c r="O100" s="252"/>
      <c r="P100" s="252"/>
      <c r="Q100" s="252"/>
      <c r="R100" s="263" t="s">
        <v>1290</v>
      </c>
      <c r="S100" s="255" t="s">
        <v>1123</v>
      </c>
      <c r="T100" s="256" t="s">
        <v>252</v>
      </c>
      <c r="U100" s="66"/>
    </row>
    <row r="101" spans="1:21" ht="48.6" thickBot="1" x14ac:dyDescent="0.35">
      <c r="A101" s="249" t="s">
        <v>1291</v>
      </c>
      <c r="B101" s="264" t="s">
        <v>1292</v>
      </c>
      <c r="C101" s="263">
        <v>0</v>
      </c>
      <c r="D101" s="263">
        <v>0.22</v>
      </c>
      <c r="E101" s="263">
        <v>0.22</v>
      </c>
      <c r="F101" s="252">
        <v>920</v>
      </c>
      <c r="G101" s="252" t="s">
        <v>51</v>
      </c>
      <c r="H101" s="252"/>
      <c r="I101" s="252"/>
      <c r="J101" s="252"/>
      <c r="K101" s="252"/>
      <c r="L101" s="252"/>
      <c r="M101" s="252"/>
      <c r="N101" s="252"/>
      <c r="O101" s="252"/>
      <c r="P101" s="252"/>
      <c r="Q101" s="252"/>
      <c r="R101" s="263" t="s">
        <v>1293</v>
      </c>
      <c r="S101" s="255" t="s">
        <v>1123</v>
      </c>
      <c r="T101" s="256" t="s">
        <v>252</v>
      </c>
      <c r="U101" s="66"/>
    </row>
    <row r="102" spans="1:21" x14ac:dyDescent="0.3">
      <c r="A102" s="922" t="s">
        <v>1294</v>
      </c>
      <c r="B102" s="932" t="s">
        <v>912</v>
      </c>
      <c r="C102" s="265">
        <v>0</v>
      </c>
      <c r="D102" s="265">
        <v>0.25</v>
      </c>
      <c r="E102" s="938">
        <v>0.62</v>
      </c>
      <c r="F102" s="901">
        <f>E102*4*1000</f>
        <v>2480</v>
      </c>
      <c r="G102" s="901" t="s">
        <v>32</v>
      </c>
      <c r="H102" s="260"/>
      <c r="I102" s="260"/>
      <c r="J102" s="260"/>
      <c r="K102" s="260"/>
      <c r="L102" s="260"/>
      <c r="M102" s="260"/>
      <c r="N102" s="260"/>
      <c r="O102" s="260"/>
      <c r="P102" s="260"/>
      <c r="Q102" s="260"/>
      <c r="R102" s="265" t="s">
        <v>1295</v>
      </c>
      <c r="S102" s="927" t="s">
        <v>1123</v>
      </c>
      <c r="T102" s="928" t="s">
        <v>252</v>
      </c>
      <c r="U102" s="943"/>
    </row>
    <row r="103" spans="1:21" x14ac:dyDescent="0.3">
      <c r="A103" s="931"/>
      <c r="B103" s="933"/>
      <c r="C103" s="267">
        <v>0.25</v>
      </c>
      <c r="D103" s="267">
        <v>0.3</v>
      </c>
      <c r="E103" s="940"/>
      <c r="F103" s="902"/>
      <c r="G103" s="902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7" t="s">
        <v>1296</v>
      </c>
      <c r="S103" s="947"/>
      <c r="T103" s="936"/>
      <c r="U103" s="946"/>
    </row>
    <row r="104" spans="1:21" x14ac:dyDescent="0.3">
      <c r="A104" s="931"/>
      <c r="B104" s="933"/>
      <c r="C104" s="267">
        <v>0.3</v>
      </c>
      <c r="D104" s="267">
        <v>0.53</v>
      </c>
      <c r="E104" s="940"/>
      <c r="F104" s="902"/>
      <c r="G104" s="902"/>
      <c r="H104" s="268"/>
      <c r="I104" s="268"/>
      <c r="J104" s="268"/>
      <c r="K104" s="268"/>
      <c r="L104" s="268"/>
      <c r="M104" s="268"/>
      <c r="N104" s="268"/>
      <c r="O104" s="268"/>
      <c r="P104" s="268"/>
      <c r="Q104" s="268"/>
      <c r="R104" s="267" t="s">
        <v>1297</v>
      </c>
      <c r="S104" s="947"/>
      <c r="T104" s="936"/>
      <c r="U104" s="946"/>
    </row>
    <row r="105" spans="1:21" ht="38.25" customHeight="1" thickBot="1" x14ac:dyDescent="0.35">
      <c r="A105" s="907"/>
      <c r="B105" s="934"/>
      <c r="C105" s="269">
        <v>0.53</v>
      </c>
      <c r="D105" s="269">
        <v>0.62</v>
      </c>
      <c r="E105" s="939"/>
      <c r="F105" s="903"/>
      <c r="G105" s="903"/>
      <c r="H105" s="247"/>
      <c r="I105" s="247"/>
      <c r="J105" s="247"/>
      <c r="K105" s="247"/>
      <c r="L105" s="247"/>
      <c r="M105" s="247"/>
      <c r="N105" s="247"/>
      <c r="O105" s="247"/>
      <c r="P105" s="247"/>
      <c r="Q105" s="247"/>
      <c r="R105" s="269" t="s">
        <v>1175</v>
      </c>
      <c r="S105" s="917"/>
      <c r="T105" s="919"/>
      <c r="U105" s="921"/>
    </row>
    <row r="106" spans="1:21" x14ac:dyDescent="0.3">
      <c r="A106" s="922" t="s">
        <v>1298</v>
      </c>
      <c r="B106" s="923" t="s">
        <v>1299</v>
      </c>
      <c r="C106" s="265">
        <v>0</v>
      </c>
      <c r="D106" s="265">
        <v>0.34</v>
      </c>
      <c r="E106" s="938">
        <v>2.2000000000000002</v>
      </c>
      <c r="F106" s="901">
        <f>E106*5*1000</f>
        <v>11000</v>
      </c>
      <c r="G106" s="901" t="s">
        <v>32</v>
      </c>
      <c r="H106" s="260"/>
      <c r="I106" s="260"/>
      <c r="J106" s="260"/>
      <c r="K106" s="260"/>
      <c r="L106" s="260"/>
      <c r="M106" s="260"/>
      <c r="N106" s="260"/>
      <c r="O106" s="260"/>
      <c r="P106" s="260"/>
      <c r="Q106" s="260"/>
      <c r="R106" s="261" t="s">
        <v>1300</v>
      </c>
      <c r="S106" s="901"/>
      <c r="T106" s="928" t="s">
        <v>252</v>
      </c>
      <c r="U106" s="929"/>
    </row>
    <row r="107" spans="1:21" x14ac:dyDescent="0.3">
      <c r="A107" s="931"/>
      <c r="B107" s="945"/>
      <c r="C107" s="266">
        <v>0.34</v>
      </c>
      <c r="D107" s="266">
        <v>1.02</v>
      </c>
      <c r="E107" s="940"/>
      <c r="F107" s="902"/>
      <c r="G107" s="902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6" t="s">
        <v>1301</v>
      </c>
      <c r="S107" s="902"/>
      <c r="T107" s="936"/>
      <c r="U107" s="937"/>
    </row>
    <row r="108" spans="1:21" x14ac:dyDescent="0.3">
      <c r="A108" s="931"/>
      <c r="B108" s="945"/>
      <c r="C108" s="940">
        <v>1.02</v>
      </c>
      <c r="D108" s="940">
        <v>1.6</v>
      </c>
      <c r="E108" s="940"/>
      <c r="F108" s="902"/>
      <c r="G108" s="902"/>
      <c r="H108" s="268"/>
      <c r="I108" s="268"/>
      <c r="J108" s="268"/>
      <c r="K108" s="268"/>
      <c r="L108" s="268"/>
      <c r="M108" s="268"/>
      <c r="N108" s="268"/>
      <c r="O108" s="268"/>
      <c r="P108" s="268"/>
      <c r="Q108" s="268"/>
      <c r="R108" s="266" t="s">
        <v>1302</v>
      </c>
      <c r="S108" s="902"/>
      <c r="T108" s="936"/>
      <c r="U108" s="937"/>
    </row>
    <row r="109" spans="1:21" x14ac:dyDescent="0.3">
      <c r="A109" s="931"/>
      <c r="B109" s="945"/>
      <c r="C109" s="940"/>
      <c r="D109" s="940"/>
      <c r="E109" s="940"/>
      <c r="F109" s="902"/>
      <c r="G109" s="902"/>
      <c r="H109" s="268"/>
      <c r="I109" s="268"/>
      <c r="J109" s="268"/>
      <c r="K109" s="268"/>
      <c r="L109" s="268"/>
      <c r="M109" s="268"/>
      <c r="N109" s="268"/>
      <c r="O109" s="268"/>
      <c r="P109" s="268"/>
      <c r="Q109" s="268"/>
      <c r="R109" s="266" t="s">
        <v>1303</v>
      </c>
      <c r="S109" s="902"/>
      <c r="T109" s="936"/>
      <c r="U109" s="937"/>
    </row>
    <row r="110" spans="1:21" x14ac:dyDescent="0.3">
      <c r="A110" s="931"/>
      <c r="B110" s="945"/>
      <c r="C110" s="900">
        <v>1.6</v>
      </c>
      <c r="D110" s="900">
        <v>2.04</v>
      </c>
      <c r="E110" s="940"/>
      <c r="F110" s="902"/>
      <c r="G110" s="902"/>
      <c r="H110" s="268"/>
      <c r="I110" s="268"/>
      <c r="J110" s="268"/>
      <c r="K110" s="268"/>
      <c r="L110" s="268"/>
      <c r="M110" s="268"/>
      <c r="N110" s="268"/>
      <c r="O110" s="268"/>
      <c r="P110" s="268"/>
      <c r="Q110" s="268"/>
      <c r="R110" s="266" t="s">
        <v>1304</v>
      </c>
      <c r="S110" s="902"/>
      <c r="T110" s="936"/>
      <c r="U110" s="937"/>
    </row>
    <row r="111" spans="1:21" x14ac:dyDescent="0.3">
      <c r="A111" s="931"/>
      <c r="B111" s="945"/>
      <c r="C111" s="900"/>
      <c r="D111" s="900"/>
      <c r="E111" s="940"/>
      <c r="F111" s="902"/>
      <c r="G111" s="902"/>
      <c r="H111" s="268"/>
      <c r="I111" s="268"/>
      <c r="J111" s="268"/>
      <c r="K111" s="268"/>
      <c r="L111" s="268"/>
      <c r="M111" s="268"/>
      <c r="N111" s="268"/>
      <c r="O111" s="268"/>
      <c r="P111" s="268"/>
      <c r="Q111" s="268"/>
      <c r="R111" s="266" t="s">
        <v>1305</v>
      </c>
      <c r="S111" s="902"/>
      <c r="T111" s="936"/>
      <c r="U111" s="937"/>
    </row>
    <row r="112" spans="1:21" x14ac:dyDescent="0.3">
      <c r="A112" s="931"/>
      <c r="B112" s="945"/>
      <c r="C112" s="900">
        <v>2.04</v>
      </c>
      <c r="D112" s="900">
        <v>2.2000000000000002</v>
      </c>
      <c r="E112" s="940"/>
      <c r="F112" s="902"/>
      <c r="G112" s="902"/>
      <c r="H112" s="268"/>
      <c r="I112" s="268"/>
      <c r="J112" s="268"/>
      <c r="K112" s="268"/>
      <c r="L112" s="268"/>
      <c r="M112" s="268"/>
      <c r="N112" s="268"/>
      <c r="O112" s="268"/>
      <c r="P112" s="268"/>
      <c r="Q112" s="268"/>
      <c r="R112" s="266" t="s">
        <v>1306</v>
      </c>
      <c r="S112" s="902"/>
      <c r="T112" s="936"/>
      <c r="U112" s="937"/>
    </row>
    <row r="113" spans="1:21" ht="15" thickBot="1" x14ac:dyDescent="0.35">
      <c r="A113" s="907"/>
      <c r="B113" s="924"/>
      <c r="C113" s="935"/>
      <c r="D113" s="935"/>
      <c r="E113" s="939"/>
      <c r="F113" s="903"/>
      <c r="G113" s="903"/>
      <c r="H113" s="247"/>
      <c r="I113" s="247"/>
      <c r="J113" s="247"/>
      <c r="K113" s="247"/>
      <c r="L113" s="247"/>
      <c r="M113" s="247"/>
      <c r="N113" s="247"/>
      <c r="O113" s="247"/>
      <c r="P113" s="247"/>
      <c r="Q113" s="247"/>
      <c r="R113" s="269" t="s">
        <v>1307</v>
      </c>
      <c r="S113" s="903"/>
      <c r="T113" s="919"/>
      <c r="U113" s="930"/>
    </row>
    <row r="114" spans="1:21" ht="48.6" thickBot="1" x14ac:dyDescent="0.35">
      <c r="A114" s="249" t="s">
        <v>1308</v>
      </c>
      <c r="B114" s="264" t="s">
        <v>1309</v>
      </c>
      <c r="C114" s="263">
        <v>0</v>
      </c>
      <c r="D114" s="263">
        <v>0.41</v>
      </c>
      <c r="E114" s="254">
        <v>0.41</v>
      </c>
      <c r="F114" s="252">
        <f>E114*5*1000</f>
        <v>2050</v>
      </c>
      <c r="G114" s="65" t="s">
        <v>32</v>
      </c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4" t="s">
        <v>1310</v>
      </c>
      <c r="S114" s="256"/>
      <c r="T114" s="256" t="s">
        <v>252</v>
      </c>
      <c r="U114" s="258"/>
    </row>
    <row r="115" spans="1:21" x14ac:dyDescent="0.3">
      <c r="A115" s="922" t="s">
        <v>1311</v>
      </c>
      <c r="B115" s="932" t="s">
        <v>1312</v>
      </c>
      <c r="C115" s="938">
        <v>0</v>
      </c>
      <c r="D115" s="938">
        <v>2.1800000000000002</v>
      </c>
      <c r="E115" s="938">
        <v>4.6399999999999997</v>
      </c>
      <c r="F115" s="941">
        <f>E115*6.5*1000</f>
        <v>30159.999999999996</v>
      </c>
      <c r="G115" s="941" t="s">
        <v>32</v>
      </c>
      <c r="H115" s="260"/>
      <c r="I115" s="260"/>
      <c r="J115" s="260"/>
      <c r="K115" s="260"/>
      <c r="L115" s="260"/>
      <c r="M115" s="260"/>
      <c r="N115" s="260"/>
      <c r="O115" s="260"/>
      <c r="P115" s="260"/>
      <c r="Q115" s="260"/>
      <c r="R115" s="261" t="s">
        <v>1313</v>
      </c>
      <c r="S115" s="901"/>
      <c r="T115" s="928" t="s">
        <v>252</v>
      </c>
      <c r="U115" s="929"/>
    </row>
    <row r="116" spans="1:21" x14ac:dyDescent="0.3">
      <c r="A116" s="931"/>
      <c r="B116" s="933"/>
      <c r="C116" s="940"/>
      <c r="D116" s="940"/>
      <c r="E116" s="940"/>
      <c r="F116" s="944"/>
      <c r="G116" s="944"/>
      <c r="H116" s="268"/>
      <c r="I116" s="268"/>
      <c r="J116" s="268"/>
      <c r="K116" s="268"/>
      <c r="L116" s="268"/>
      <c r="M116" s="268"/>
      <c r="N116" s="268"/>
      <c r="O116" s="268"/>
      <c r="P116" s="268"/>
      <c r="Q116" s="268"/>
      <c r="R116" s="267" t="s">
        <v>1314</v>
      </c>
      <c r="S116" s="902"/>
      <c r="T116" s="936"/>
      <c r="U116" s="937"/>
    </row>
    <row r="117" spans="1:21" x14ac:dyDescent="0.3">
      <c r="A117" s="931"/>
      <c r="B117" s="933"/>
      <c r="C117" s="940"/>
      <c r="D117" s="940"/>
      <c r="E117" s="940"/>
      <c r="F117" s="944"/>
      <c r="G117" s="944"/>
      <c r="H117" s="268"/>
      <c r="I117" s="268"/>
      <c r="J117" s="268"/>
      <c r="K117" s="268"/>
      <c r="L117" s="268"/>
      <c r="M117" s="268"/>
      <c r="N117" s="268"/>
      <c r="O117" s="268"/>
      <c r="P117" s="268"/>
      <c r="Q117" s="268"/>
      <c r="R117" s="267" t="s">
        <v>1315</v>
      </c>
      <c r="S117" s="902"/>
      <c r="T117" s="936"/>
      <c r="U117" s="937"/>
    </row>
    <row r="118" spans="1:21" x14ac:dyDescent="0.3">
      <c r="A118" s="931"/>
      <c r="B118" s="933"/>
      <c r="C118" s="940"/>
      <c r="D118" s="940"/>
      <c r="E118" s="940"/>
      <c r="F118" s="944"/>
      <c r="G118" s="944"/>
      <c r="H118" s="268"/>
      <c r="I118" s="268"/>
      <c r="J118" s="268"/>
      <c r="K118" s="268"/>
      <c r="L118" s="268"/>
      <c r="M118" s="268"/>
      <c r="N118" s="268"/>
      <c r="O118" s="268"/>
      <c r="P118" s="268"/>
      <c r="Q118" s="268"/>
      <c r="R118" s="267" t="s">
        <v>1316</v>
      </c>
      <c r="S118" s="902"/>
      <c r="T118" s="936"/>
      <c r="U118" s="937"/>
    </row>
    <row r="119" spans="1:21" x14ac:dyDescent="0.3">
      <c r="A119" s="931"/>
      <c r="B119" s="933"/>
      <c r="C119" s="940">
        <v>2.1800000000000002</v>
      </c>
      <c r="D119" s="940">
        <v>2.66</v>
      </c>
      <c r="E119" s="940"/>
      <c r="F119" s="944"/>
      <c r="G119" s="944"/>
      <c r="H119" s="268"/>
      <c r="I119" s="268"/>
      <c r="J119" s="268"/>
      <c r="K119" s="268"/>
      <c r="L119" s="268"/>
      <c r="M119" s="268"/>
      <c r="N119" s="268"/>
      <c r="O119" s="268"/>
      <c r="P119" s="268"/>
      <c r="Q119" s="268"/>
      <c r="R119" s="267" t="s">
        <v>1317</v>
      </c>
      <c r="S119" s="902"/>
      <c r="T119" s="936"/>
      <c r="U119" s="937"/>
    </row>
    <row r="120" spans="1:21" x14ac:dyDescent="0.3">
      <c r="A120" s="931"/>
      <c r="B120" s="933"/>
      <c r="C120" s="940"/>
      <c r="D120" s="940"/>
      <c r="E120" s="940"/>
      <c r="F120" s="944"/>
      <c r="G120" s="944"/>
      <c r="H120" s="268"/>
      <c r="I120" s="268"/>
      <c r="J120" s="268"/>
      <c r="K120" s="268"/>
      <c r="L120" s="268"/>
      <c r="M120" s="268"/>
      <c r="N120" s="268"/>
      <c r="O120" s="268"/>
      <c r="P120" s="268"/>
      <c r="Q120" s="268"/>
      <c r="R120" s="267" t="s">
        <v>1318</v>
      </c>
      <c r="S120" s="902"/>
      <c r="T120" s="936"/>
      <c r="U120" s="937"/>
    </row>
    <row r="121" spans="1:21" x14ac:dyDescent="0.3">
      <c r="A121" s="931"/>
      <c r="B121" s="933"/>
      <c r="C121" s="267">
        <v>2.66</v>
      </c>
      <c r="D121" s="267">
        <v>3.87</v>
      </c>
      <c r="E121" s="940"/>
      <c r="F121" s="944"/>
      <c r="G121" s="944"/>
      <c r="H121" s="268"/>
      <c r="I121" s="268"/>
      <c r="J121" s="268"/>
      <c r="K121" s="268"/>
      <c r="L121" s="268"/>
      <c r="M121" s="268"/>
      <c r="N121" s="268"/>
      <c r="O121" s="268"/>
      <c r="P121" s="268"/>
      <c r="Q121" s="268"/>
      <c r="R121" s="267" t="s">
        <v>1319</v>
      </c>
      <c r="S121" s="902"/>
      <c r="T121" s="936"/>
      <c r="U121" s="937"/>
    </row>
    <row r="122" spans="1:21" x14ac:dyDescent="0.3">
      <c r="A122" s="931"/>
      <c r="B122" s="933"/>
      <c r="C122" s="940">
        <v>3.87</v>
      </c>
      <c r="D122" s="940">
        <v>3.88</v>
      </c>
      <c r="E122" s="940"/>
      <c r="F122" s="944"/>
      <c r="G122" s="944"/>
      <c r="H122" s="268"/>
      <c r="I122" s="268"/>
      <c r="J122" s="268"/>
      <c r="K122" s="268"/>
      <c r="L122" s="268"/>
      <c r="M122" s="268"/>
      <c r="N122" s="268"/>
      <c r="O122" s="268"/>
      <c r="P122" s="268"/>
      <c r="Q122" s="268"/>
      <c r="R122" s="267" t="s">
        <v>1320</v>
      </c>
      <c r="S122" s="902"/>
      <c r="T122" s="936"/>
      <c r="U122" s="937"/>
    </row>
    <row r="123" spans="1:21" x14ac:dyDescent="0.3">
      <c r="A123" s="931"/>
      <c r="B123" s="933"/>
      <c r="C123" s="940"/>
      <c r="D123" s="940"/>
      <c r="E123" s="940"/>
      <c r="F123" s="944"/>
      <c r="G123" s="944"/>
      <c r="H123" s="268"/>
      <c r="I123" s="268"/>
      <c r="J123" s="268"/>
      <c r="K123" s="268"/>
      <c r="L123" s="268"/>
      <c r="M123" s="268"/>
      <c r="N123" s="268"/>
      <c r="O123" s="268"/>
      <c r="P123" s="268"/>
      <c r="Q123" s="268"/>
      <c r="R123" s="267" t="s">
        <v>1321</v>
      </c>
      <c r="S123" s="902"/>
      <c r="T123" s="936"/>
      <c r="U123" s="937"/>
    </row>
    <row r="124" spans="1:21" x14ac:dyDescent="0.3">
      <c r="A124" s="931"/>
      <c r="B124" s="933"/>
      <c r="C124" s="267">
        <v>3.88</v>
      </c>
      <c r="D124" s="267">
        <v>4.33</v>
      </c>
      <c r="E124" s="940"/>
      <c r="F124" s="944"/>
      <c r="G124" s="944"/>
      <c r="H124" s="268"/>
      <c r="I124" s="268"/>
      <c r="J124" s="268"/>
      <c r="K124" s="268"/>
      <c r="L124" s="268"/>
      <c r="M124" s="268"/>
      <c r="N124" s="268"/>
      <c r="O124" s="268"/>
      <c r="P124" s="268"/>
      <c r="Q124" s="268"/>
      <c r="R124" s="267" t="s">
        <v>1322</v>
      </c>
      <c r="S124" s="902"/>
      <c r="T124" s="936"/>
      <c r="U124" s="937"/>
    </row>
    <row r="125" spans="1:21" ht="15" thickBot="1" x14ac:dyDescent="0.35">
      <c r="A125" s="907"/>
      <c r="B125" s="934"/>
      <c r="C125" s="269">
        <v>4.33</v>
      </c>
      <c r="D125" s="269">
        <v>4.6399999999999997</v>
      </c>
      <c r="E125" s="939"/>
      <c r="F125" s="942"/>
      <c r="G125" s="942"/>
      <c r="H125" s="247"/>
      <c r="I125" s="247"/>
      <c r="J125" s="247"/>
      <c r="K125" s="247"/>
      <c r="L125" s="247"/>
      <c r="M125" s="247"/>
      <c r="N125" s="247"/>
      <c r="O125" s="247"/>
      <c r="P125" s="247"/>
      <c r="Q125" s="247"/>
      <c r="R125" s="269" t="s">
        <v>1323</v>
      </c>
      <c r="S125" s="903"/>
      <c r="T125" s="919"/>
      <c r="U125" s="930"/>
    </row>
    <row r="126" spans="1:21" x14ac:dyDescent="0.3">
      <c r="A126" s="922" t="s">
        <v>1324</v>
      </c>
      <c r="B126" s="932" t="s">
        <v>1325</v>
      </c>
      <c r="C126" s="941">
        <v>0</v>
      </c>
      <c r="D126" s="941">
        <v>3.98</v>
      </c>
      <c r="E126" s="941">
        <v>3.98</v>
      </c>
      <c r="F126" s="941">
        <f>E126*6*1000</f>
        <v>23880</v>
      </c>
      <c r="G126" s="941" t="s">
        <v>32</v>
      </c>
      <c r="H126" s="260"/>
      <c r="I126" s="260"/>
      <c r="J126" s="260"/>
      <c r="K126" s="260"/>
      <c r="L126" s="260"/>
      <c r="M126" s="260"/>
      <c r="N126" s="260"/>
      <c r="O126" s="260"/>
      <c r="P126" s="260"/>
      <c r="Q126" s="260"/>
      <c r="R126" s="261" t="s">
        <v>1326</v>
      </c>
      <c r="S126" s="901"/>
      <c r="T126" s="928" t="s">
        <v>252</v>
      </c>
      <c r="U126" s="943"/>
    </row>
    <row r="127" spans="1:21" x14ac:dyDescent="0.3">
      <c r="A127" s="931"/>
      <c r="B127" s="933"/>
      <c r="C127" s="944"/>
      <c r="D127" s="944"/>
      <c r="E127" s="944"/>
      <c r="F127" s="944"/>
      <c r="G127" s="944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7" t="s">
        <v>1327</v>
      </c>
      <c r="S127" s="902"/>
      <c r="T127" s="936"/>
      <c r="U127" s="946"/>
    </row>
    <row r="128" spans="1:21" ht="48" customHeight="1" thickBot="1" x14ac:dyDescent="0.35">
      <c r="A128" s="907"/>
      <c r="B128" s="934"/>
      <c r="C128" s="942"/>
      <c r="D128" s="942"/>
      <c r="E128" s="942"/>
      <c r="F128" s="942"/>
      <c r="G128" s="942"/>
      <c r="H128" s="247"/>
      <c r="I128" s="247"/>
      <c r="J128" s="247"/>
      <c r="K128" s="247"/>
      <c r="L128" s="247"/>
      <c r="M128" s="247"/>
      <c r="N128" s="247"/>
      <c r="O128" s="247"/>
      <c r="P128" s="247"/>
      <c r="Q128" s="247"/>
      <c r="R128" s="248" t="s">
        <v>1328</v>
      </c>
      <c r="S128" s="903"/>
      <c r="T128" s="919"/>
      <c r="U128" s="921"/>
    </row>
    <row r="129" spans="1:21" x14ac:dyDescent="0.3">
      <c r="A129" s="922" t="s">
        <v>1329</v>
      </c>
      <c r="B129" s="923" t="s">
        <v>1330</v>
      </c>
      <c r="C129" s="265">
        <v>0</v>
      </c>
      <c r="D129" s="265">
        <v>2.2599999999999998</v>
      </c>
      <c r="E129" s="938">
        <v>5.37</v>
      </c>
      <c r="F129" s="901">
        <f>E129*8*1000</f>
        <v>42960</v>
      </c>
      <c r="G129" s="941" t="s">
        <v>32</v>
      </c>
      <c r="H129" s="270"/>
      <c r="I129" s="260"/>
      <c r="J129" s="260"/>
      <c r="K129" s="288"/>
      <c r="L129" s="260"/>
      <c r="M129" s="260"/>
      <c r="N129" s="260"/>
      <c r="O129" s="260"/>
      <c r="P129" s="260"/>
      <c r="Q129" s="260"/>
      <c r="R129" s="261" t="s">
        <v>1331</v>
      </c>
      <c r="S129" s="901"/>
      <c r="T129" s="928" t="s">
        <v>252</v>
      </c>
      <c r="U129" s="929"/>
    </row>
    <row r="130" spans="1:21" x14ac:dyDescent="0.3">
      <c r="A130" s="931"/>
      <c r="B130" s="945"/>
      <c r="C130" s="940">
        <v>2.2599999999999998</v>
      </c>
      <c r="D130" s="940">
        <v>2.92</v>
      </c>
      <c r="E130" s="940"/>
      <c r="F130" s="902"/>
      <c r="G130" s="944"/>
      <c r="H130" s="944" t="s">
        <v>1332</v>
      </c>
      <c r="I130" s="940">
        <v>2.2599999999999998</v>
      </c>
      <c r="J130" s="268" t="s">
        <v>1333</v>
      </c>
      <c r="K130" s="950">
        <v>12</v>
      </c>
      <c r="L130" s="902">
        <v>90</v>
      </c>
      <c r="M130" s="268"/>
      <c r="N130" s="268"/>
      <c r="O130" s="902" t="s">
        <v>155</v>
      </c>
      <c r="P130" s="268"/>
      <c r="Q130" s="268"/>
      <c r="R130" s="266" t="s">
        <v>1331</v>
      </c>
      <c r="S130" s="902"/>
      <c r="T130" s="936"/>
      <c r="U130" s="937"/>
    </row>
    <row r="131" spans="1:21" x14ac:dyDescent="0.3">
      <c r="A131" s="931"/>
      <c r="B131" s="945"/>
      <c r="C131" s="940"/>
      <c r="D131" s="940"/>
      <c r="E131" s="940"/>
      <c r="F131" s="902"/>
      <c r="G131" s="944"/>
      <c r="H131" s="944"/>
      <c r="I131" s="940"/>
      <c r="J131" s="268" t="s">
        <v>1334</v>
      </c>
      <c r="K131" s="950"/>
      <c r="L131" s="902"/>
      <c r="M131" s="268"/>
      <c r="N131" s="268"/>
      <c r="O131" s="902"/>
      <c r="P131" s="268"/>
      <c r="Q131" s="268"/>
      <c r="R131" s="266" t="s">
        <v>1335</v>
      </c>
      <c r="S131" s="902"/>
      <c r="T131" s="936"/>
      <c r="U131" s="937"/>
    </row>
    <row r="132" spans="1:21" x14ac:dyDescent="0.3">
      <c r="A132" s="931"/>
      <c r="B132" s="945"/>
      <c r="C132" s="267">
        <v>2.92</v>
      </c>
      <c r="D132" s="267">
        <v>3.56</v>
      </c>
      <c r="E132" s="940"/>
      <c r="F132" s="902"/>
      <c r="G132" s="944"/>
      <c r="H132" s="273"/>
      <c r="I132" s="267"/>
      <c r="J132" s="268"/>
      <c r="K132" s="289"/>
      <c r="L132" s="268"/>
      <c r="M132" s="268"/>
      <c r="N132" s="268"/>
      <c r="O132" s="268"/>
      <c r="P132" s="268"/>
      <c r="Q132" s="268"/>
      <c r="R132" s="266" t="s">
        <v>1336</v>
      </c>
      <c r="S132" s="902"/>
      <c r="T132" s="936"/>
      <c r="U132" s="937"/>
    </row>
    <row r="133" spans="1:21" x14ac:dyDescent="0.3">
      <c r="A133" s="931"/>
      <c r="B133" s="945"/>
      <c r="C133" s="267">
        <v>3.56</v>
      </c>
      <c r="D133" s="267">
        <v>3.67</v>
      </c>
      <c r="E133" s="940"/>
      <c r="F133" s="902"/>
      <c r="G133" s="944"/>
      <c r="H133" s="273"/>
      <c r="I133" s="267"/>
      <c r="J133" s="268"/>
      <c r="K133" s="289"/>
      <c r="L133" s="268"/>
      <c r="M133" s="268"/>
      <c r="N133" s="268"/>
      <c r="O133" s="268"/>
      <c r="P133" s="268"/>
      <c r="Q133" s="268"/>
      <c r="R133" s="266" t="s">
        <v>1337</v>
      </c>
      <c r="S133" s="902"/>
      <c r="T133" s="936"/>
      <c r="U133" s="937"/>
    </row>
    <row r="134" spans="1:21" x14ac:dyDescent="0.3">
      <c r="A134" s="931"/>
      <c r="B134" s="945"/>
      <c r="C134" s="267">
        <v>3.67</v>
      </c>
      <c r="D134" s="267">
        <v>4.18</v>
      </c>
      <c r="E134" s="940"/>
      <c r="F134" s="902"/>
      <c r="G134" s="944"/>
      <c r="H134" s="273"/>
      <c r="I134" s="267"/>
      <c r="J134" s="268"/>
      <c r="K134" s="289"/>
      <c r="L134" s="268"/>
      <c r="M134" s="268"/>
      <c r="N134" s="268"/>
      <c r="O134" s="268"/>
      <c r="P134" s="268"/>
      <c r="Q134" s="268"/>
      <c r="R134" s="266" t="s">
        <v>1338</v>
      </c>
      <c r="S134" s="902"/>
      <c r="T134" s="936"/>
      <c r="U134" s="937"/>
    </row>
    <row r="135" spans="1:21" x14ac:dyDescent="0.3">
      <c r="A135" s="931"/>
      <c r="B135" s="945"/>
      <c r="C135" s="267">
        <v>4.18</v>
      </c>
      <c r="D135" s="267">
        <v>4.76</v>
      </c>
      <c r="E135" s="940"/>
      <c r="F135" s="902"/>
      <c r="G135" s="944"/>
      <c r="H135" s="273"/>
      <c r="I135" s="267"/>
      <c r="J135" s="268"/>
      <c r="K135" s="289"/>
      <c r="L135" s="268"/>
      <c r="M135" s="268"/>
      <c r="N135" s="268"/>
      <c r="O135" s="268"/>
      <c r="P135" s="268"/>
      <c r="Q135" s="268"/>
      <c r="R135" s="266" t="s">
        <v>1339</v>
      </c>
      <c r="S135" s="902"/>
      <c r="T135" s="936"/>
      <c r="U135" s="937"/>
    </row>
    <row r="136" spans="1:21" x14ac:dyDescent="0.3">
      <c r="A136" s="931"/>
      <c r="B136" s="945"/>
      <c r="C136" s="267">
        <v>4.76</v>
      </c>
      <c r="D136" s="267">
        <v>4.99</v>
      </c>
      <c r="E136" s="940"/>
      <c r="F136" s="902"/>
      <c r="G136" s="944"/>
      <c r="H136" s="273"/>
      <c r="I136" s="267"/>
      <c r="J136" s="268"/>
      <c r="K136" s="289"/>
      <c r="L136" s="268"/>
      <c r="M136" s="268"/>
      <c r="N136" s="268"/>
      <c r="O136" s="268"/>
      <c r="P136" s="268"/>
      <c r="Q136" s="268"/>
      <c r="R136" s="266" t="s">
        <v>1340</v>
      </c>
      <c r="S136" s="902"/>
      <c r="T136" s="936"/>
      <c r="U136" s="937"/>
    </row>
    <row r="137" spans="1:21" x14ac:dyDescent="0.3">
      <c r="A137" s="931"/>
      <c r="B137" s="945"/>
      <c r="C137" s="940">
        <v>4.99</v>
      </c>
      <c r="D137" s="940">
        <v>5.37</v>
      </c>
      <c r="E137" s="940"/>
      <c r="F137" s="902"/>
      <c r="G137" s="944"/>
      <c r="H137" s="273"/>
      <c r="I137" s="267"/>
      <c r="J137" s="268"/>
      <c r="K137" s="289"/>
      <c r="L137" s="268"/>
      <c r="M137" s="268"/>
      <c r="N137" s="268"/>
      <c r="O137" s="268"/>
      <c r="P137" s="268"/>
      <c r="Q137" s="268"/>
      <c r="R137" s="266" t="s">
        <v>1339</v>
      </c>
      <c r="S137" s="902"/>
      <c r="T137" s="936"/>
      <c r="U137" s="937"/>
    </row>
    <row r="138" spans="1:21" ht="15" thickBot="1" x14ac:dyDescent="0.35">
      <c r="A138" s="907"/>
      <c r="B138" s="924"/>
      <c r="C138" s="939"/>
      <c r="D138" s="939"/>
      <c r="E138" s="939"/>
      <c r="F138" s="903"/>
      <c r="G138" s="942"/>
      <c r="H138" s="271"/>
      <c r="I138" s="269"/>
      <c r="J138" s="247"/>
      <c r="K138" s="290"/>
      <c r="L138" s="247"/>
      <c r="M138" s="247"/>
      <c r="N138" s="247"/>
      <c r="O138" s="247"/>
      <c r="P138" s="247"/>
      <c r="Q138" s="247"/>
      <c r="R138" s="248" t="s">
        <v>1341</v>
      </c>
      <c r="S138" s="903"/>
      <c r="T138" s="919"/>
      <c r="U138" s="930"/>
    </row>
    <row r="139" spans="1:21" x14ac:dyDescent="0.3">
      <c r="A139" s="922" t="s">
        <v>1342</v>
      </c>
      <c r="B139" s="932" t="s">
        <v>1343</v>
      </c>
      <c r="C139" s="265">
        <v>0</v>
      </c>
      <c r="D139" s="265">
        <v>0.27</v>
      </c>
      <c r="E139" s="938">
        <v>0.49</v>
      </c>
      <c r="F139" s="270">
        <f>D139*6*1000</f>
        <v>1620</v>
      </c>
      <c r="G139" s="270" t="s">
        <v>51</v>
      </c>
      <c r="H139" s="260"/>
      <c r="I139" s="260"/>
      <c r="J139" s="260"/>
      <c r="K139" s="260"/>
      <c r="L139" s="260"/>
      <c r="M139" s="260"/>
      <c r="N139" s="260"/>
      <c r="O139" s="260"/>
      <c r="P139" s="260"/>
      <c r="Q139" s="260"/>
      <c r="R139" s="261" t="s">
        <v>1344</v>
      </c>
      <c r="S139" s="927"/>
      <c r="T139" s="928" t="s">
        <v>252</v>
      </c>
      <c r="U139" s="943"/>
    </row>
    <row r="140" spans="1:21" x14ac:dyDescent="0.3">
      <c r="A140" s="931"/>
      <c r="B140" s="933"/>
      <c r="C140" s="267">
        <v>0.27</v>
      </c>
      <c r="D140" s="267">
        <v>0.3</v>
      </c>
      <c r="E140" s="940"/>
      <c r="F140" s="944">
        <f>0.19*6*1000</f>
        <v>1140.0000000000002</v>
      </c>
      <c r="G140" s="944" t="s">
        <v>32</v>
      </c>
      <c r="H140" s="268"/>
      <c r="I140" s="268"/>
      <c r="J140" s="268"/>
      <c r="K140" s="268"/>
      <c r="L140" s="268"/>
      <c r="M140" s="268"/>
      <c r="N140" s="268"/>
      <c r="O140" s="268"/>
      <c r="P140" s="268"/>
      <c r="Q140" s="268"/>
      <c r="R140" s="266" t="s">
        <v>1344</v>
      </c>
      <c r="S140" s="947"/>
      <c r="T140" s="936"/>
      <c r="U140" s="946"/>
    </row>
    <row r="141" spans="1:21" x14ac:dyDescent="0.3">
      <c r="A141" s="931"/>
      <c r="B141" s="933"/>
      <c r="C141" s="940">
        <v>0.3</v>
      </c>
      <c r="D141" s="940">
        <v>0.39</v>
      </c>
      <c r="E141" s="940"/>
      <c r="F141" s="944"/>
      <c r="G141" s="944"/>
      <c r="H141" s="268"/>
      <c r="I141" s="268"/>
      <c r="J141" s="268"/>
      <c r="K141" s="268"/>
      <c r="L141" s="268"/>
      <c r="M141" s="268"/>
      <c r="N141" s="268"/>
      <c r="O141" s="268"/>
      <c r="P141" s="268"/>
      <c r="Q141" s="268"/>
      <c r="R141" s="266" t="s">
        <v>1345</v>
      </c>
      <c r="S141" s="947"/>
      <c r="T141" s="936"/>
      <c r="U141" s="946"/>
    </row>
    <row r="142" spans="1:21" x14ac:dyDescent="0.3">
      <c r="A142" s="931"/>
      <c r="B142" s="933"/>
      <c r="C142" s="940"/>
      <c r="D142" s="940"/>
      <c r="E142" s="940"/>
      <c r="F142" s="944"/>
      <c r="G142" s="944"/>
      <c r="H142" s="268"/>
      <c r="I142" s="268"/>
      <c r="J142" s="268"/>
      <c r="K142" s="268"/>
      <c r="L142" s="268"/>
      <c r="M142" s="268"/>
      <c r="N142" s="268"/>
      <c r="O142" s="268"/>
      <c r="P142" s="268"/>
      <c r="Q142" s="268"/>
      <c r="R142" s="266" t="s">
        <v>1346</v>
      </c>
      <c r="S142" s="947"/>
      <c r="T142" s="936"/>
      <c r="U142" s="946"/>
    </row>
    <row r="143" spans="1:21" ht="15" thickBot="1" x14ac:dyDescent="0.35">
      <c r="A143" s="907"/>
      <c r="B143" s="934"/>
      <c r="C143" s="269">
        <v>0.39</v>
      </c>
      <c r="D143" s="269">
        <v>0.49</v>
      </c>
      <c r="E143" s="939"/>
      <c r="F143" s="942"/>
      <c r="G143" s="942"/>
      <c r="H143" s="247"/>
      <c r="I143" s="247"/>
      <c r="J143" s="247"/>
      <c r="K143" s="247"/>
      <c r="L143" s="247"/>
      <c r="M143" s="247"/>
      <c r="N143" s="247"/>
      <c r="O143" s="247"/>
      <c r="P143" s="247"/>
      <c r="Q143" s="247"/>
      <c r="R143" s="248" t="s">
        <v>1347</v>
      </c>
      <c r="S143" s="917"/>
      <c r="T143" s="919"/>
      <c r="U143" s="921"/>
    </row>
    <row r="144" spans="1:21" x14ac:dyDescent="0.3">
      <c r="A144" s="922" t="s">
        <v>1348</v>
      </c>
      <c r="B144" s="932" t="s">
        <v>1349</v>
      </c>
      <c r="C144" s="899">
        <v>0</v>
      </c>
      <c r="D144" s="899">
        <v>0.38</v>
      </c>
      <c r="E144" s="899">
        <v>1.75</v>
      </c>
      <c r="F144" s="901">
        <f>E144*6*1000</f>
        <v>10500</v>
      </c>
      <c r="G144" s="941" t="s">
        <v>32</v>
      </c>
      <c r="H144" s="260"/>
      <c r="I144" s="270"/>
      <c r="J144" s="260"/>
      <c r="K144" s="260"/>
      <c r="L144" s="260"/>
      <c r="M144" s="260"/>
      <c r="N144" s="260"/>
      <c r="O144" s="260"/>
      <c r="P144" s="260"/>
      <c r="Q144" s="260"/>
      <c r="R144" s="265" t="s">
        <v>1350</v>
      </c>
      <c r="S144" s="901"/>
      <c r="T144" s="928" t="s">
        <v>252</v>
      </c>
      <c r="U144" s="943"/>
    </row>
    <row r="145" spans="1:21" x14ac:dyDescent="0.3">
      <c r="A145" s="931"/>
      <c r="B145" s="933"/>
      <c r="C145" s="900"/>
      <c r="D145" s="900"/>
      <c r="E145" s="900"/>
      <c r="F145" s="902"/>
      <c r="G145" s="944"/>
      <c r="H145" s="268"/>
      <c r="I145" s="273"/>
      <c r="J145" s="268"/>
      <c r="K145" s="268"/>
      <c r="L145" s="268"/>
      <c r="M145" s="268"/>
      <c r="N145" s="268"/>
      <c r="O145" s="268"/>
      <c r="P145" s="268"/>
      <c r="Q145" s="268"/>
      <c r="R145" s="267" t="s">
        <v>1351</v>
      </c>
      <c r="S145" s="902"/>
      <c r="T145" s="936"/>
      <c r="U145" s="946"/>
    </row>
    <row r="146" spans="1:21" x14ac:dyDescent="0.3">
      <c r="A146" s="931"/>
      <c r="B146" s="933"/>
      <c r="C146" s="900">
        <v>0.38</v>
      </c>
      <c r="D146" s="900">
        <v>0.93</v>
      </c>
      <c r="E146" s="900"/>
      <c r="F146" s="902"/>
      <c r="G146" s="944"/>
      <c r="H146" s="268"/>
      <c r="I146" s="273"/>
      <c r="J146" s="268"/>
      <c r="K146" s="268"/>
      <c r="L146" s="268"/>
      <c r="M146" s="268"/>
      <c r="N146" s="268"/>
      <c r="O146" s="268"/>
      <c r="P146" s="268"/>
      <c r="Q146" s="268"/>
      <c r="R146" s="266" t="s">
        <v>1352</v>
      </c>
      <c r="S146" s="902"/>
      <c r="T146" s="936"/>
      <c r="U146" s="946"/>
    </row>
    <row r="147" spans="1:21" x14ac:dyDescent="0.3">
      <c r="A147" s="931"/>
      <c r="B147" s="933"/>
      <c r="C147" s="900"/>
      <c r="D147" s="900"/>
      <c r="E147" s="900"/>
      <c r="F147" s="902"/>
      <c r="G147" s="944"/>
      <c r="H147" s="268"/>
      <c r="I147" s="273"/>
      <c r="J147" s="268"/>
      <c r="K147" s="268"/>
      <c r="L147" s="268"/>
      <c r="M147" s="268"/>
      <c r="N147" s="268"/>
      <c r="O147" s="268"/>
      <c r="P147" s="268"/>
      <c r="Q147" s="268"/>
      <c r="R147" s="266" t="s">
        <v>1353</v>
      </c>
      <c r="S147" s="902"/>
      <c r="T147" s="936"/>
      <c r="U147" s="946"/>
    </row>
    <row r="148" spans="1:21" x14ac:dyDescent="0.3">
      <c r="A148" s="931"/>
      <c r="B148" s="933"/>
      <c r="C148" s="900"/>
      <c r="D148" s="900"/>
      <c r="E148" s="900"/>
      <c r="F148" s="902"/>
      <c r="G148" s="944"/>
      <c r="H148" s="268"/>
      <c r="I148" s="273"/>
      <c r="J148" s="268"/>
      <c r="K148" s="268"/>
      <c r="L148" s="268"/>
      <c r="M148" s="268"/>
      <c r="N148" s="268"/>
      <c r="O148" s="268"/>
      <c r="P148" s="268"/>
      <c r="Q148" s="268"/>
      <c r="R148" s="266" t="s">
        <v>1354</v>
      </c>
      <c r="S148" s="902"/>
      <c r="T148" s="936"/>
      <c r="U148" s="946"/>
    </row>
    <row r="149" spans="1:21" x14ac:dyDescent="0.3">
      <c r="A149" s="931"/>
      <c r="B149" s="933"/>
      <c r="C149" s="900"/>
      <c r="D149" s="900"/>
      <c r="E149" s="900"/>
      <c r="F149" s="902"/>
      <c r="G149" s="944"/>
      <c r="H149" s="268"/>
      <c r="I149" s="273"/>
      <c r="J149" s="268"/>
      <c r="K149" s="268"/>
      <c r="L149" s="268"/>
      <c r="M149" s="268"/>
      <c r="N149" s="268"/>
      <c r="O149" s="268"/>
      <c r="P149" s="268"/>
      <c r="Q149" s="268"/>
      <c r="R149" s="266" t="s">
        <v>1355</v>
      </c>
      <c r="S149" s="902"/>
      <c r="T149" s="936"/>
      <c r="U149" s="946"/>
    </row>
    <row r="150" spans="1:21" x14ac:dyDescent="0.3">
      <c r="A150" s="931"/>
      <c r="B150" s="933"/>
      <c r="C150" s="902">
        <v>0.93</v>
      </c>
      <c r="D150" s="902">
        <v>1.37</v>
      </c>
      <c r="E150" s="900"/>
      <c r="F150" s="902"/>
      <c r="G150" s="944"/>
      <c r="H150" s="268"/>
      <c r="I150" s="273"/>
      <c r="J150" s="268"/>
      <c r="K150" s="268"/>
      <c r="L150" s="268"/>
      <c r="M150" s="268"/>
      <c r="N150" s="268"/>
      <c r="O150" s="268"/>
      <c r="P150" s="268"/>
      <c r="Q150" s="268"/>
      <c r="R150" s="266" t="s">
        <v>1356</v>
      </c>
      <c r="S150" s="902"/>
      <c r="T150" s="936"/>
      <c r="U150" s="946"/>
    </row>
    <row r="151" spans="1:21" x14ac:dyDescent="0.3">
      <c r="A151" s="931"/>
      <c r="B151" s="933"/>
      <c r="C151" s="902"/>
      <c r="D151" s="902"/>
      <c r="E151" s="900"/>
      <c r="F151" s="902"/>
      <c r="G151" s="944"/>
      <c r="H151" s="268"/>
      <c r="I151" s="273"/>
      <c r="J151" s="268"/>
      <c r="K151" s="268"/>
      <c r="L151" s="268"/>
      <c r="M151" s="268"/>
      <c r="N151" s="268"/>
      <c r="O151" s="268"/>
      <c r="P151" s="268"/>
      <c r="Q151" s="268"/>
      <c r="R151" s="266" t="s">
        <v>1355</v>
      </c>
      <c r="S151" s="902"/>
      <c r="T151" s="936"/>
      <c r="U151" s="946"/>
    </row>
    <row r="152" spans="1:21" ht="15" thickBot="1" x14ac:dyDescent="0.35">
      <c r="A152" s="907"/>
      <c r="B152" s="934"/>
      <c r="C152" s="248">
        <v>1.37</v>
      </c>
      <c r="D152" s="248">
        <v>1.75</v>
      </c>
      <c r="E152" s="935"/>
      <c r="F152" s="903"/>
      <c r="G152" s="942"/>
      <c r="H152" s="247"/>
      <c r="I152" s="271"/>
      <c r="J152" s="247"/>
      <c r="K152" s="247"/>
      <c r="L152" s="247"/>
      <c r="M152" s="247"/>
      <c r="N152" s="247"/>
      <c r="O152" s="247"/>
      <c r="P152" s="247"/>
      <c r="Q152" s="247"/>
      <c r="R152" s="248" t="s">
        <v>1357</v>
      </c>
      <c r="S152" s="903"/>
      <c r="T152" s="919"/>
      <c r="U152" s="921"/>
    </row>
    <row r="153" spans="1:21" x14ac:dyDescent="0.3">
      <c r="A153" s="922" t="s">
        <v>1358</v>
      </c>
      <c r="B153" s="932" t="s">
        <v>1359</v>
      </c>
      <c r="C153" s="899">
        <v>0</v>
      </c>
      <c r="D153" s="899">
        <v>0.31</v>
      </c>
      <c r="E153" s="899">
        <v>0.5</v>
      </c>
      <c r="F153" s="901">
        <f>E153*4*1000</f>
        <v>2000</v>
      </c>
      <c r="G153" s="941" t="s">
        <v>32</v>
      </c>
      <c r="H153" s="260"/>
      <c r="I153" s="270"/>
      <c r="J153" s="260"/>
      <c r="K153" s="260"/>
      <c r="L153" s="260"/>
      <c r="M153" s="260"/>
      <c r="N153" s="260"/>
      <c r="O153" s="260"/>
      <c r="P153" s="260"/>
      <c r="Q153" s="260"/>
      <c r="R153" s="261" t="s">
        <v>1360</v>
      </c>
      <c r="S153" s="901"/>
      <c r="T153" s="928" t="s">
        <v>1361</v>
      </c>
      <c r="U153" s="929"/>
    </row>
    <row r="154" spans="1:21" x14ac:dyDescent="0.3">
      <c r="A154" s="931"/>
      <c r="B154" s="933"/>
      <c r="C154" s="900"/>
      <c r="D154" s="900"/>
      <c r="E154" s="900"/>
      <c r="F154" s="902"/>
      <c r="G154" s="944"/>
      <c r="H154" s="268"/>
      <c r="I154" s="273"/>
      <c r="J154" s="268"/>
      <c r="K154" s="268"/>
      <c r="L154" s="268"/>
      <c r="M154" s="268"/>
      <c r="N154" s="268"/>
      <c r="O154" s="268"/>
      <c r="P154" s="268"/>
      <c r="Q154" s="268"/>
      <c r="R154" s="266" t="s">
        <v>1362</v>
      </c>
      <c r="S154" s="902"/>
      <c r="T154" s="936"/>
      <c r="U154" s="937"/>
    </row>
    <row r="155" spans="1:21" x14ac:dyDescent="0.3">
      <c r="A155" s="931"/>
      <c r="B155" s="933"/>
      <c r="C155" s="900"/>
      <c r="D155" s="900"/>
      <c r="E155" s="900"/>
      <c r="F155" s="902"/>
      <c r="G155" s="944"/>
      <c r="H155" s="268"/>
      <c r="I155" s="273"/>
      <c r="J155" s="268"/>
      <c r="K155" s="268"/>
      <c r="L155" s="268"/>
      <c r="M155" s="268"/>
      <c r="N155" s="268"/>
      <c r="O155" s="268"/>
      <c r="P155" s="268"/>
      <c r="Q155" s="268"/>
      <c r="R155" s="266" t="s">
        <v>1363</v>
      </c>
      <c r="S155" s="902"/>
      <c r="T155" s="936"/>
      <c r="U155" s="937"/>
    </row>
    <row r="156" spans="1:21" x14ac:dyDescent="0.3">
      <c r="A156" s="931"/>
      <c r="B156" s="933"/>
      <c r="C156" s="266">
        <v>0.31</v>
      </c>
      <c r="D156" s="266">
        <v>0.39</v>
      </c>
      <c r="E156" s="900"/>
      <c r="F156" s="902"/>
      <c r="G156" s="944"/>
      <c r="H156" s="268"/>
      <c r="I156" s="273"/>
      <c r="J156" s="268"/>
      <c r="K156" s="268"/>
      <c r="L156" s="268"/>
      <c r="M156" s="268"/>
      <c r="N156" s="268"/>
      <c r="O156" s="268"/>
      <c r="P156" s="268"/>
      <c r="Q156" s="268"/>
      <c r="R156" s="266" t="s">
        <v>1364</v>
      </c>
      <c r="S156" s="902"/>
      <c r="T156" s="936"/>
      <c r="U156" s="937"/>
    </row>
    <row r="157" spans="1:21" ht="15" thickBot="1" x14ac:dyDescent="0.35">
      <c r="A157" s="907"/>
      <c r="B157" s="934"/>
      <c r="C157" s="248">
        <v>0.39</v>
      </c>
      <c r="D157" s="248">
        <v>0.5</v>
      </c>
      <c r="E157" s="935"/>
      <c r="F157" s="903"/>
      <c r="G157" s="942"/>
      <c r="H157" s="247"/>
      <c r="I157" s="271"/>
      <c r="J157" s="247"/>
      <c r="K157" s="247"/>
      <c r="L157" s="247"/>
      <c r="M157" s="247"/>
      <c r="N157" s="247"/>
      <c r="O157" s="247"/>
      <c r="P157" s="247"/>
      <c r="Q157" s="247"/>
      <c r="R157" s="248" t="s">
        <v>1352</v>
      </c>
      <c r="S157" s="903"/>
      <c r="T157" s="919"/>
      <c r="U157" s="930"/>
    </row>
    <row r="158" spans="1:21" ht="48.6" thickBot="1" x14ac:dyDescent="0.35">
      <c r="A158" s="249" t="s">
        <v>1365</v>
      </c>
      <c r="B158" s="264" t="s">
        <v>1366</v>
      </c>
      <c r="C158" s="254">
        <v>0</v>
      </c>
      <c r="D158" s="254">
        <v>2.3199999999999998</v>
      </c>
      <c r="E158" s="254">
        <v>2.3199999999999998</v>
      </c>
      <c r="F158" s="65">
        <f>D158*7*1000</f>
        <v>16239.999999999998</v>
      </c>
      <c r="G158" s="65" t="s">
        <v>32</v>
      </c>
      <c r="H158" s="252"/>
      <c r="I158" s="252"/>
      <c r="J158" s="252"/>
      <c r="K158" s="252"/>
      <c r="L158" s="252"/>
      <c r="M158" s="252"/>
      <c r="N158" s="252"/>
      <c r="O158" s="252"/>
      <c r="P158" s="252"/>
      <c r="Q158" s="252"/>
      <c r="R158" s="263" t="s">
        <v>1367</v>
      </c>
      <c r="S158" s="255"/>
      <c r="T158" s="256" t="s">
        <v>252</v>
      </c>
      <c r="U158" s="258" t="s">
        <v>1215</v>
      </c>
    </row>
    <row r="159" spans="1:21" ht="48.6" thickBot="1" x14ac:dyDescent="0.35">
      <c r="A159" s="249" t="s">
        <v>1368</v>
      </c>
      <c r="B159" s="264" t="s">
        <v>1369</v>
      </c>
      <c r="C159" s="254">
        <v>0</v>
      </c>
      <c r="D159" s="252">
        <v>2.19</v>
      </c>
      <c r="E159" s="254">
        <v>2.19</v>
      </c>
      <c r="F159" s="252">
        <f>E159*7*1000</f>
        <v>15330</v>
      </c>
      <c r="G159" s="252" t="s">
        <v>32</v>
      </c>
      <c r="H159" s="252"/>
      <c r="I159" s="252"/>
      <c r="J159" s="252"/>
      <c r="K159" s="252"/>
      <c r="L159" s="252"/>
      <c r="M159" s="252"/>
      <c r="N159" s="252"/>
      <c r="O159" s="252"/>
      <c r="P159" s="252"/>
      <c r="Q159" s="252"/>
      <c r="R159" s="254" t="s">
        <v>1370</v>
      </c>
      <c r="S159" s="256"/>
      <c r="T159" s="256" t="s">
        <v>252</v>
      </c>
      <c r="U159" s="258"/>
    </row>
    <row r="160" spans="1:21" x14ac:dyDescent="0.3">
      <c r="A160" s="922" t="s">
        <v>1371</v>
      </c>
      <c r="B160" s="923" t="s">
        <v>1372</v>
      </c>
      <c r="C160" s="261">
        <v>0</v>
      </c>
      <c r="D160" s="261">
        <v>0.31</v>
      </c>
      <c r="E160" s="899">
        <v>1.7</v>
      </c>
      <c r="F160" s="951">
        <f>E160*6*1000</f>
        <v>10200</v>
      </c>
      <c r="G160" s="901" t="s">
        <v>32</v>
      </c>
      <c r="H160" s="260"/>
      <c r="I160" s="260"/>
      <c r="J160" s="260"/>
      <c r="K160" s="260"/>
      <c r="L160" s="260"/>
      <c r="M160" s="260"/>
      <c r="N160" s="260"/>
      <c r="O160" s="260"/>
      <c r="P160" s="260"/>
      <c r="Q160" s="260"/>
      <c r="R160" s="261" t="s">
        <v>1373</v>
      </c>
      <c r="S160" s="941"/>
      <c r="T160" s="928" t="s">
        <v>252</v>
      </c>
      <c r="U160" s="929" t="s">
        <v>1215</v>
      </c>
    </row>
    <row r="161" spans="1:21" x14ac:dyDescent="0.3">
      <c r="A161" s="931"/>
      <c r="B161" s="945"/>
      <c r="C161" s="266">
        <v>0.31</v>
      </c>
      <c r="D161" s="266">
        <v>0.67</v>
      </c>
      <c r="E161" s="900"/>
      <c r="F161" s="952"/>
      <c r="G161" s="902"/>
      <c r="H161" s="268"/>
      <c r="I161" s="268"/>
      <c r="J161" s="268"/>
      <c r="K161" s="268"/>
      <c r="L161" s="268"/>
      <c r="M161" s="268"/>
      <c r="N161" s="268"/>
      <c r="O161" s="268"/>
      <c r="P161" s="268"/>
      <c r="Q161" s="268"/>
      <c r="R161" s="266" t="s">
        <v>1374</v>
      </c>
      <c r="S161" s="944"/>
      <c r="T161" s="936"/>
      <c r="U161" s="937"/>
    </row>
    <row r="162" spans="1:21" x14ac:dyDescent="0.3">
      <c r="A162" s="931"/>
      <c r="B162" s="945"/>
      <c r="C162" s="266">
        <v>0.67</v>
      </c>
      <c r="D162" s="266">
        <v>1.02</v>
      </c>
      <c r="E162" s="900"/>
      <c r="F162" s="952"/>
      <c r="G162" s="902"/>
      <c r="H162" s="268"/>
      <c r="I162" s="268"/>
      <c r="J162" s="268"/>
      <c r="K162" s="268"/>
      <c r="L162" s="268"/>
      <c r="M162" s="268"/>
      <c r="N162" s="268"/>
      <c r="O162" s="268"/>
      <c r="P162" s="268"/>
      <c r="Q162" s="268"/>
      <c r="R162" s="266" t="s">
        <v>1375</v>
      </c>
      <c r="S162" s="944"/>
      <c r="T162" s="936"/>
      <c r="U162" s="937"/>
    </row>
    <row r="163" spans="1:21" x14ac:dyDescent="0.3">
      <c r="A163" s="931"/>
      <c r="B163" s="945"/>
      <c r="C163" s="266">
        <v>1.02</v>
      </c>
      <c r="D163" s="266">
        <v>1.48</v>
      </c>
      <c r="E163" s="900"/>
      <c r="F163" s="952"/>
      <c r="G163" s="902"/>
      <c r="H163" s="268"/>
      <c r="I163" s="268"/>
      <c r="J163" s="268"/>
      <c r="K163" s="268"/>
      <c r="L163" s="268"/>
      <c r="M163" s="268"/>
      <c r="N163" s="268"/>
      <c r="O163" s="268"/>
      <c r="P163" s="268"/>
      <c r="Q163" s="268"/>
      <c r="R163" s="266" t="s">
        <v>1376</v>
      </c>
      <c r="S163" s="944"/>
      <c r="T163" s="936"/>
      <c r="U163" s="937"/>
    </row>
    <row r="164" spans="1:21" x14ac:dyDescent="0.3">
      <c r="A164" s="931"/>
      <c r="B164" s="945"/>
      <c r="C164" s="900">
        <v>1.48</v>
      </c>
      <c r="D164" s="900">
        <v>1.7</v>
      </c>
      <c r="E164" s="900"/>
      <c r="F164" s="952"/>
      <c r="G164" s="902"/>
      <c r="H164" s="268"/>
      <c r="I164" s="268"/>
      <c r="J164" s="268"/>
      <c r="K164" s="268"/>
      <c r="L164" s="268"/>
      <c r="M164" s="268"/>
      <c r="N164" s="268"/>
      <c r="O164" s="268"/>
      <c r="P164" s="268"/>
      <c r="Q164" s="268"/>
      <c r="R164" s="266" t="s">
        <v>1377</v>
      </c>
      <c r="S164" s="944"/>
      <c r="T164" s="936"/>
      <c r="U164" s="937"/>
    </row>
    <row r="165" spans="1:21" ht="15" thickBot="1" x14ac:dyDescent="0.35">
      <c r="A165" s="907"/>
      <c r="B165" s="924"/>
      <c r="C165" s="935"/>
      <c r="D165" s="935"/>
      <c r="E165" s="935"/>
      <c r="F165" s="953"/>
      <c r="G165" s="903"/>
      <c r="H165" s="247"/>
      <c r="I165" s="247"/>
      <c r="J165" s="247"/>
      <c r="K165" s="247"/>
      <c r="L165" s="247"/>
      <c r="M165" s="247"/>
      <c r="N165" s="247"/>
      <c r="O165" s="247"/>
      <c r="P165" s="247"/>
      <c r="Q165" s="247"/>
      <c r="R165" s="248" t="s">
        <v>1377</v>
      </c>
      <c r="S165" s="942"/>
      <c r="T165" s="919"/>
      <c r="U165" s="930"/>
    </row>
    <row r="166" spans="1:21" x14ac:dyDescent="0.3">
      <c r="A166" s="922" t="s">
        <v>1378</v>
      </c>
      <c r="B166" s="923" t="s">
        <v>1379</v>
      </c>
      <c r="C166" s="899">
        <v>0</v>
      </c>
      <c r="D166" s="899">
        <v>1.1499999999999999</v>
      </c>
      <c r="E166" s="899">
        <v>1.1499999999999999</v>
      </c>
      <c r="F166" s="951">
        <f>E166*5.5*1000</f>
        <v>6324.9999999999991</v>
      </c>
      <c r="G166" s="901" t="s">
        <v>32</v>
      </c>
      <c r="H166" s="260"/>
      <c r="I166" s="260"/>
      <c r="J166" s="260"/>
      <c r="K166" s="260"/>
      <c r="L166" s="260"/>
      <c r="M166" s="260"/>
      <c r="N166" s="260"/>
      <c r="O166" s="260"/>
      <c r="P166" s="260"/>
      <c r="Q166" s="260"/>
      <c r="R166" s="261" t="s">
        <v>1222</v>
      </c>
      <c r="S166" s="901"/>
      <c r="T166" s="928" t="s">
        <v>252</v>
      </c>
      <c r="U166" s="929"/>
    </row>
    <row r="167" spans="1:21" x14ac:dyDescent="0.3">
      <c r="A167" s="931"/>
      <c r="B167" s="945"/>
      <c r="C167" s="900"/>
      <c r="D167" s="900"/>
      <c r="E167" s="900"/>
      <c r="F167" s="952"/>
      <c r="G167" s="902"/>
      <c r="H167" s="268"/>
      <c r="I167" s="268"/>
      <c r="J167" s="268"/>
      <c r="K167" s="268"/>
      <c r="L167" s="268"/>
      <c r="M167" s="268"/>
      <c r="N167" s="268"/>
      <c r="O167" s="268"/>
      <c r="P167" s="268"/>
      <c r="Q167" s="268"/>
      <c r="R167" s="266" t="s">
        <v>1224</v>
      </c>
      <c r="S167" s="902"/>
      <c r="T167" s="936"/>
      <c r="U167" s="937"/>
    </row>
    <row r="168" spans="1:21" x14ac:dyDescent="0.3">
      <c r="A168" s="931"/>
      <c r="B168" s="945"/>
      <c r="C168" s="900"/>
      <c r="D168" s="900"/>
      <c r="E168" s="900"/>
      <c r="F168" s="952"/>
      <c r="G168" s="902"/>
      <c r="H168" s="268"/>
      <c r="I168" s="268"/>
      <c r="J168" s="268"/>
      <c r="K168" s="268"/>
      <c r="L168" s="268"/>
      <c r="M168" s="268"/>
      <c r="N168" s="268"/>
      <c r="O168" s="268"/>
      <c r="P168" s="268"/>
      <c r="Q168" s="268"/>
      <c r="R168" s="266" t="s">
        <v>1380</v>
      </c>
      <c r="S168" s="902"/>
      <c r="T168" s="936"/>
      <c r="U168" s="937"/>
    </row>
    <row r="169" spans="1:21" x14ac:dyDescent="0.3">
      <c r="A169" s="931"/>
      <c r="B169" s="945"/>
      <c r="C169" s="900"/>
      <c r="D169" s="900"/>
      <c r="E169" s="900"/>
      <c r="F169" s="952"/>
      <c r="G169" s="902"/>
      <c r="H169" s="268"/>
      <c r="I169" s="268"/>
      <c r="J169" s="268"/>
      <c r="K169" s="268"/>
      <c r="L169" s="268"/>
      <c r="M169" s="268"/>
      <c r="N169" s="268"/>
      <c r="O169" s="268"/>
      <c r="P169" s="268"/>
      <c r="Q169" s="268"/>
      <c r="R169" s="266" t="s">
        <v>1381</v>
      </c>
      <c r="S169" s="902"/>
      <c r="T169" s="936"/>
      <c r="U169" s="937"/>
    </row>
    <row r="170" spans="1:21" x14ac:dyDescent="0.3">
      <c r="A170" s="931"/>
      <c r="B170" s="945"/>
      <c r="C170" s="900"/>
      <c r="D170" s="900"/>
      <c r="E170" s="900"/>
      <c r="F170" s="952"/>
      <c r="G170" s="902"/>
      <c r="H170" s="268"/>
      <c r="I170" s="268"/>
      <c r="J170" s="268"/>
      <c r="K170" s="268"/>
      <c r="L170" s="268"/>
      <c r="M170" s="268"/>
      <c r="N170" s="268"/>
      <c r="O170" s="268"/>
      <c r="P170" s="268"/>
      <c r="Q170" s="268"/>
      <c r="R170" s="266" t="s">
        <v>1382</v>
      </c>
      <c r="S170" s="902"/>
      <c r="T170" s="936"/>
      <c r="U170" s="937"/>
    </row>
    <row r="171" spans="1:21" ht="15" thickBot="1" x14ac:dyDescent="0.35">
      <c r="A171" s="907"/>
      <c r="B171" s="924"/>
      <c r="C171" s="935"/>
      <c r="D171" s="935"/>
      <c r="E171" s="935"/>
      <c r="F171" s="953"/>
      <c r="G171" s="903"/>
      <c r="H171" s="247"/>
      <c r="I171" s="247"/>
      <c r="J171" s="247"/>
      <c r="K171" s="247"/>
      <c r="L171" s="247"/>
      <c r="M171" s="247"/>
      <c r="N171" s="247"/>
      <c r="O171" s="247"/>
      <c r="P171" s="247"/>
      <c r="Q171" s="247"/>
      <c r="R171" s="248" t="s">
        <v>1383</v>
      </c>
      <c r="S171" s="903"/>
      <c r="T171" s="919"/>
      <c r="U171" s="930"/>
    </row>
    <row r="172" spans="1:21" x14ac:dyDescent="0.3">
      <c r="A172" s="922" t="s">
        <v>1384</v>
      </c>
      <c r="B172" s="923" t="s">
        <v>1385</v>
      </c>
      <c r="C172" s="265">
        <v>0</v>
      </c>
      <c r="D172" s="265">
        <v>0.34</v>
      </c>
      <c r="E172" s="938">
        <v>0.94</v>
      </c>
      <c r="F172" s="941">
        <f>E172*5*1000</f>
        <v>4699.9999999999991</v>
      </c>
      <c r="G172" s="941" t="s">
        <v>32</v>
      </c>
      <c r="H172" s="260"/>
      <c r="I172" s="260"/>
      <c r="J172" s="260"/>
      <c r="K172" s="260"/>
      <c r="L172" s="260"/>
      <c r="M172" s="260"/>
      <c r="N172" s="260"/>
      <c r="O172" s="260"/>
      <c r="P172" s="260"/>
      <c r="Q172" s="260"/>
      <c r="R172" s="261" t="s">
        <v>1386</v>
      </c>
      <c r="S172" s="901"/>
      <c r="T172" s="928" t="s">
        <v>252</v>
      </c>
      <c r="U172" s="943"/>
    </row>
    <row r="173" spans="1:21" x14ac:dyDescent="0.3">
      <c r="A173" s="931"/>
      <c r="B173" s="945"/>
      <c r="C173" s="940">
        <v>0.34</v>
      </c>
      <c r="D173" s="940">
        <v>0.55000000000000004</v>
      </c>
      <c r="E173" s="940"/>
      <c r="F173" s="944"/>
      <c r="G173" s="944"/>
      <c r="H173" s="268"/>
      <c r="I173" s="268"/>
      <c r="J173" s="268"/>
      <c r="K173" s="268"/>
      <c r="L173" s="268"/>
      <c r="M173" s="268"/>
      <c r="N173" s="268"/>
      <c r="O173" s="268"/>
      <c r="P173" s="268"/>
      <c r="Q173" s="268"/>
      <c r="R173" s="266" t="s">
        <v>1387</v>
      </c>
      <c r="S173" s="902"/>
      <c r="T173" s="936"/>
      <c r="U173" s="946"/>
    </row>
    <row r="174" spans="1:21" x14ac:dyDescent="0.3">
      <c r="A174" s="931"/>
      <c r="B174" s="945"/>
      <c r="C174" s="940"/>
      <c r="D174" s="940"/>
      <c r="E174" s="940"/>
      <c r="F174" s="944"/>
      <c r="G174" s="944"/>
      <c r="H174" s="268"/>
      <c r="I174" s="268"/>
      <c r="J174" s="268"/>
      <c r="K174" s="268"/>
      <c r="L174" s="268"/>
      <c r="M174" s="268"/>
      <c r="N174" s="268"/>
      <c r="O174" s="268"/>
      <c r="P174" s="268"/>
      <c r="Q174" s="268"/>
      <c r="R174" s="266" t="s">
        <v>1388</v>
      </c>
      <c r="S174" s="902"/>
      <c r="T174" s="936"/>
      <c r="U174" s="946"/>
    </row>
    <row r="175" spans="1:21" x14ac:dyDescent="0.3">
      <c r="A175" s="931"/>
      <c r="B175" s="945"/>
      <c r="C175" s="940">
        <v>0.55000000000000004</v>
      </c>
      <c r="D175" s="940">
        <v>0.94</v>
      </c>
      <c r="E175" s="940"/>
      <c r="F175" s="944"/>
      <c r="G175" s="944"/>
      <c r="H175" s="268"/>
      <c r="I175" s="268"/>
      <c r="J175" s="268"/>
      <c r="K175" s="268"/>
      <c r="L175" s="268"/>
      <c r="M175" s="268"/>
      <c r="N175" s="268"/>
      <c r="O175" s="268"/>
      <c r="P175" s="268"/>
      <c r="Q175" s="268"/>
      <c r="R175" s="266" t="s">
        <v>1388</v>
      </c>
      <c r="S175" s="902"/>
      <c r="T175" s="936"/>
      <c r="U175" s="946"/>
    </row>
    <row r="176" spans="1:21" x14ac:dyDescent="0.3">
      <c r="A176" s="931"/>
      <c r="B176" s="945"/>
      <c r="C176" s="940"/>
      <c r="D176" s="940"/>
      <c r="E176" s="940"/>
      <c r="F176" s="944"/>
      <c r="G176" s="944"/>
      <c r="H176" s="268"/>
      <c r="I176" s="268"/>
      <c r="J176" s="268"/>
      <c r="K176" s="268"/>
      <c r="L176" s="268"/>
      <c r="M176" s="268"/>
      <c r="N176" s="268"/>
      <c r="O176" s="268"/>
      <c r="P176" s="268"/>
      <c r="Q176" s="268"/>
      <c r="R176" s="266" t="s">
        <v>1389</v>
      </c>
      <c r="S176" s="902"/>
      <c r="T176" s="936"/>
      <c r="U176" s="946"/>
    </row>
    <row r="177" spans="1:21" ht="15" thickBot="1" x14ac:dyDescent="0.35">
      <c r="A177" s="907"/>
      <c r="B177" s="924"/>
      <c r="C177" s="939"/>
      <c r="D177" s="939"/>
      <c r="E177" s="939"/>
      <c r="F177" s="942"/>
      <c r="G177" s="942"/>
      <c r="H177" s="247"/>
      <c r="I177" s="247"/>
      <c r="J177" s="247"/>
      <c r="K177" s="247"/>
      <c r="L177" s="247"/>
      <c r="M177" s="247"/>
      <c r="N177" s="247"/>
      <c r="O177" s="247"/>
      <c r="P177" s="247"/>
      <c r="Q177" s="247"/>
      <c r="R177" s="248" t="s">
        <v>1390</v>
      </c>
      <c r="S177" s="903"/>
      <c r="T177" s="919"/>
      <c r="U177" s="921"/>
    </row>
    <row r="178" spans="1:21" x14ac:dyDescent="0.3">
      <c r="A178" s="922" t="s">
        <v>1391</v>
      </c>
      <c r="B178" s="923" t="s">
        <v>1392</v>
      </c>
      <c r="C178" s="261">
        <v>0</v>
      </c>
      <c r="D178" s="261">
        <v>0.47</v>
      </c>
      <c r="E178" s="899">
        <v>1.3</v>
      </c>
      <c r="F178" s="951">
        <f>E178*6*1000</f>
        <v>7800.0000000000009</v>
      </c>
      <c r="G178" s="901" t="s">
        <v>32</v>
      </c>
      <c r="H178" s="260"/>
      <c r="I178" s="260"/>
      <c r="J178" s="260"/>
      <c r="K178" s="260"/>
      <c r="L178" s="260"/>
      <c r="M178" s="260"/>
      <c r="N178" s="260"/>
      <c r="O178" s="260"/>
      <c r="P178" s="260"/>
      <c r="Q178" s="260"/>
      <c r="R178" s="261" t="s">
        <v>1393</v>
      </c>
      <c r="S178" s="928"/>
      <c r="T178" s="928" t="s">
        <v>252</v>
      </c>
      <c r="U178" s="943"/>
    </row>
    <row r="179" spans="1:21" x14ac:dyDescent="0.3">
      <c r="A179" s="931"/>
      <c r="B179" s="945"/>
      <c r="C179" s="900">
        <v>0.47</v>
      </c>
      <c r="D179" s="900">
        <v>0.75</v>
      </c>
      <c r="E179" s="900"/>
      <c r="F179" s="952"/>
      <c r="G179" s="902"/>
      <c r="H179" s="268"/>
      <c r="I179" s="268"/>
      <c r="J179" s="268"/>
      <c r="K179" s="268"/>
      <c r="L179" s="268"/>
      <c r="M179" s="268"/>
      <c r="N179" s="268"/>
      <c r="O179" s="268"/>
      <c r="P179" s="268"/>
      <c r="Q179" s="268"/>
      <c r="R179" s="267" t="s">
        <v>1394</v>
      </c>
      <c r="S179" s="936"/>
      <c r="T179" s="936"/>
      <c r="U179" s="946"/>
    </row>
    <row r="180" spans="1:21" x14ac:dyDescent="0.3">
      <c r="A180" s="931"/>
      <c r="B180" s="945"/>
      <c r="C180" s="900"/>
      <c r="D180" s="900"/>
      <c r="E180" s="900"/>
      <c r="F180" s="952"/>
      <c r="G180" s="902"/>
      <c r="H180" s="268"/>
      <c r="I180" s="268"/>
      <c r="J180" s="268"/>
      <c r="K180" s="268"/>
      <c r="L180" s="268"/>
      <c r="M180" s="268"/>
      <c r="N180" s="268"/>
      <c r="O180" s="268"/>
      <c r="P180" s="268"/>
      <c r="Q180" s="268"/>
      <c r="R180" s="267" t="s">
        <v>1395</v>
      </c>
      <c r="S180" s="936"/>
      <c r="T180" s="936"/>
      <c r="U180" s="946"/>
    </row>
    <row r="181" spans="1:21" x14ac:dyDescent="0.3">
      <c r="A181" s="931"/>
      <c r="B181" s="945"/>
      <c r="C181" s="266">
        <v>0.75</v>
      </c>
      <c r="D181" s="266">
        <v>1.03</v>
      </c>
      <c r="E181" s="900"/>
      <c r="F181" s="952"/>
      <c r="G181" s="902"/>
      <c r="H181" s="268"/>
      <c r="I181" s="268"/>
      <c r="J181" s="268"/>
      <c r="K181" s="268"/>
      <c r="L181" s="268"/>
      <c r="M181" s="268"/>
      <c r="N181" s="268"/>
      <c r="O181" s="268"/>
      <c r="P181" s="268"/>
      <c r="Q181" s="268"/>
      <c r="R181" s="266" t="s">
        <v>1396</v>
      </c>
      <c r="S181" s="936"/>
      <c r="T181" s="936"/>
      <c r="U181" s="946"/>
    </row>
    <row r="182" spans="1:21" x14ac:dyDescent="0.3">
      <c r="A182" s="931"/>
      <c r="B182" s="945"/>
      <c r="C182" s="266">
        <v>1.03</v>
      </c>
      <c r="D182" s="266">
        <v>1.2</v>
      </c>
      <c r="E182" s="900"/>
      <c r="F182" s="952"/>
      <c r="G182" s="902"/>
      <c r="H182" s="268"/>
      <c r="I182" s="268"/>
      <c r="J182" s="268"/>
      <c r="K182" s="268"/>
      <c r="L182" s="268"/>
      <c r="M182" s="268"/>
      <c r="N182" s="268"/>
      <c r="O182" s="268"/>
      <c r="P182" s="268"/>
      <c r="Q182" s="268"/>
      <c r="R182" s="266" t="s">
        <v>1397</v>
      </c>
      <c r="S182" s="936"/>
      <c r="T182" s="936"/>
      <c r="U182" s="946"/>
    </row>
    <row r="183" spans="1:21" ht="15" thickBot="1" x14ac:dyDescent="0.35">
      <c r="A183" s="907"/>
      <c r="B183" s="924"/>
      <c r="C183" s="248">
        <v>1.2</v>
      </c>
      <c r="D183" s="248">
        <v>1.3</v>
      </c>
      <c r="E183" s="935"/>
      <c r="F183" s="953"/>
      <c r="G183" s="903"/>
      <c r="H183" s="247"/>
      <c r="I183" s="247"/>
      <c r="J183" s="247"/>
      <c r="K183" s="247"/>
      <c r="L183" s="247"/>
      <c r="M183" s="247"/>
      <c r="N183" s="247"/>
      <c r="O183" s="247"/>
      <c r="P183" s="247"/>
      <c r="Q183" s="247"/>
      <c r="R183" s="248" t="s">
        <v>1398</v>
      </c>
      <c r="S183" s="919"/>
      <c r="T183" s="919"/>
      <c r="U183" s="921"/>
    </row>
    <row r="184" spans="1:21" x14ac:dyDescent="0.3">
      <c r="A184" s="922" t="s">
        <v>1399</v>
      </c>
      <c r="B184" s="932" t="s">
        <v>1400</v>
      </c>
      <c r="C184" s="261">
        <v>0</v>
      </c>
      <c r="D184" s="261">
        <v>0.35</v>
      </c>
      <c r="E184" s="899">
        <v>3.57</v>
      </c>
      <c r="F184" s="951">
        <f>E184*6.5*1000</f>
        <v>23205</v>
      </c>
      <c r="G184" s="901" t="s">
        <v>32</v>
      </c>
      <c r="H184" s="260"/>
      <c r="I184" s="260"/>
      <c r="J184" s="260"/>
      <c r="K184" s="260"/>
      <c r="L184" s="260"/>
      <c r="M184" s="260"/>
      <c r="N184" s="260"/>
      <c r="O184" s="260"/>
      <c r="P184" s="260"/>
      <c r="Q184" s="260"/>
      <c r="R184" s="261" t="s">
        <v>1401</v>
      </c>
      <c r="S184" s="928"/>
      <c r="T184" s="928" t="s">
        <v>252</v>
      </c>
      <c r="U184" s="929"/>
    </row>
    <row r="185" spans="1:21" x14ac:dyDescent="0.3">
      <c r="A185" s="931"/>
      <c r="B185" s="933"/>
      <c r="C185" s="266">
        <v>0.35</v>
      </c>
      <c r="D185" s="266">
        <v>0.77</v>
      </c>
      <c r="E185" s="900"/>
      <c r="F185" s="952"/>
      <c r="G185" s="902"/>
      <c r="H185" s="268"/>
      <c r="I185" s="268"/>
      <c r="J185" s="268"/>
      <c r="K185" s="268"/>
      <c r="L185" s="268"/>
      <c r="M185" s="268"/>
      <c r="N185" s="268"/>
      <c r="O185" s="268"/>
      <c r="P185" s="268"/>
      <c r="Q185" s="268"/>
      <c r="R185" s="267" t="s">
        <v>1402</v>
      </c>
      <c r="S185" s="936"/>
      <c r="T185" s="936"/>
      <c r="U185" s="937"/>
    </row>
    <row r="186" spans="1:21" x14ac:dyDescent="0.3">
      <c r="A186" s="931"/>
      <c r="B186" s="933"/>
      <c r="C186" s="266">
        <v>0.77</v>
      </c>
      <c r="D186" s="266">
        <v>1.43</v>
      </c>
      <c r="E186" s="900"/>
      <c r="F186" s="952"/>
      <c r="G186" s="902"/>
      <c r="H186" s="268"/>
      <c r="I186" s="268"/>
      <c r="J186" s="268"/>
      <c r="K186" s="268"/>
      <c r="L186" s="268"/>
      <c r="M186" s="268"/>
      <c r="N186" s="268"/>
      <c r="O186" s="268"/>
      <c r="P186" s="268"/>
      <c r="Q186" s="268"/>
      <c r="R186" s="266" t="s">
        <v>1403</v>
      </c>
      <c r="S186" s="936"/>
      <c r="T186" s="936"/>
      <c r="U186" s="937"/>
    </row>
    <row r="187" spans="1:21" x14ac:dyDescent="0.3">
      <c r="A187" s="931"/>
      <c r="B187" s="933"/>
      <c r="C187" s="900">
        <v>1.43</v>
      </c>
      <c r="D187" s="900">
        <v>1.64</v>
      </c>
      <c r="E187" s="900"/>
      <c r="F187" s="952"/>
      <c r="G187" s="902"/>
      <c r="H187" s="268"/>
      <c r="I187" s="268"/>
      <c r="J187" s="268"/>
      <c r="K187" s="268"/>
      <c r="L187" s="268"/>
      <c r="M187" s="268"/>
      <c r="N187" s="268"/>
      <c r="O187" s="268"/>
      <c r="P187" s="268"/>
      <c r="Q187" s="268"/>
      <c r="R187" s="267" t="s">
        <v>1404</v>
      </c>
      <c r="S187" s="936"/>
      <c r="T187" s="936"/>
      <c r="U187" s="937"/>
    </row>
    <row r="188" spans="1:21" x14ac:dyDescent="0.3">
      <c r="A188" s="931"/>
      <c r="B188" s="933"/>
      <c r="C188" s="900"/>
      <c r="D188" s="900"/>
      <c r="E188" s="900"/>
      <c r="F188" s="952"/>
      <c r="G188" s="902"/>
      <c r="H188" s="268"/>
      <c r="I188" s="268"/>
      <c r="J188" s="268"/>
      <c r="K188" s="268"/>
      <c r="L188" s="268"/>
      <c r="M188" s="268"/>
      <c r="N188" s="268"/>
      <c r="O188" s="268"/>
      <c r="P188" s="268"/>
      <c r="Q188" s="268"/>
      <c r="R188" s="267" t="s">
        <v>1405</v>
      </c>
      <c r="S188" s="936"/>
      <c r="T188" s="936"/>
      <c r="U188" s="937"/>
    </row>
    <row r="189" spans="1:21" x14ac:dyDescent="0.3">
      <c r="A189" s="931"/>
      <c r="B189" s="933"/>
      <c r="C189" s="266">
        <v>1.64</v>
      </c>
      <c r="D189" s="266">
        <v>1.93</v>
      </c>
      <c r="E189" s="900"/>
      <c r="F189" s="952"/>
      <c r="G189" s="902"/>
      <c r="H189" s="268"/>
      <c r="I189" s="268"/>
      <c r="J189" s="268"/>
      <c r="K189" s="268"/>
      <c r="L189" s="268"/>
      <c r="M189" s="268"/>
      <c r="N189" s="268"/>
      <c r="O189" s="268"/>
      <c r="P189" s="268"/>
      <c r="Q189" s="268"/>
      <c r="R189" s="266" t="s">
        <v>1406</v>
      </c>
      <c r="S189" s="936"/>
      <c r="T189" s="936"/>
      <c r="U189" s="937"/>
    </row>
    <row r="190" spans="1:21" x14ac:dyDescent="0.3">
      <c r="A190" s="931"/>
      <c r="B190" s="933"/>
      <c r="C190" s="900">
        <v>1.93</v>
      </c>
      <c r="D190" s="900">
        <v>3.34</v>
      </c>
      <c r="E190" s="900"/>
      <c r="F190" s="952"/>
      <c r="G190" s="902"/>
      <c r="H190" s="268"/>
      <c r="I190" s="268"/>
      <c r="J190" s="268"/>
      <c r="K190" s="268"/>
      <c r="L190" s="268"/>
      <c r="M190" s="268"/>
      <c r="N190" s="268"/>
      <c r="O190" s="268"/>
      <c r="P190" s="268"/>
      <c r="Q190" s="268"/>
      <c r="R190" s="266" t="s">
        <v>1407</v>
      </c>
      <c r="S190" s="936"/>
      <c r="T190" s="936"/>
      <c r="U190" s="937"/>
    </row>
    <row r="191" spans="1:21" x14ac:dyDescent="0.3">
      <c r="A191" s="931"/>
      <c r="B191" s="933"/>
      <c r="C191" s="900"/>
      <c r="D191" s="900"/>
      <c r="E191" s="900"/>
      <c r="F191" s="952"/>
      <c r="G191" s="902"/>
      <c r="H191" s="268"/>
      <c r="I191" s="268"/>
      <c r="J191" s="268"/>
      <c r="K191" s="268"/>
      <c r="L191" s="268"/>
      <c r="M191" s="268"/>
      <c r="N191" s="268"/>
      <c r="O191" s="268"/>
      <c r="P191" s="268"/>
      <c r="Q191" s="268"/>
      <c r="R191" s="267" t="s">
        <v>1408</v>
      </c>
      <c r="S191" s="936"/>
      <c r="T191" s="936"/>
      <c r="U191" s="937"/>
    </row>
    <row r="192" spans="1:21" x14ac:dyDescent="0.3">
      <c r="A192" s="931"/>
      <c r="B192" s="933"/>
      <c r="C192" s="900">
        <v>3.34</v>
      </c>
      <c r="D192" s="900">
        <v>3.57</v>
      </c>
      <c r="E192" s="900"/>
      <c r="F192" s="952"/>
      <c r="G192" s="902"/>
      <c r="H192" s="268"/>
      <c r="I192" s="268"/>
      <c r="J192" s="268"/>
      <c r="K192" s="268"/>
      <c r="L192" s="268"/>
      <c r="M192" s="268"/>
      <c r="N192" s="268"/>
      <c r="O192" s="268"/>
      <c r="P192" s="268"/>
      <c r="Q192" s="268"/>
      <c r="R192" s="267" t="s">
        <v>1409</v>
      </c>
      <c r="S192" s="936"/>
      <c r="T192" s="936"/>
      <c r="U192" s="937"/>
    </row>
    <row r="193" spans="1:21" ht="15" thickBot="1" x14ac:dyDescent="0.35">
      <c r="A193" s="907"/>
      <c r="B193" s="934"/>
      <c r="C193" s="935"/>
      <c r="D193" s="935"/>
      <c r="E193" s="935"/>
      <c r="F193" s="953"/>
      <c r="G193" s="903"/>
      <c r="H193" s="247"/>
      <c r="I193" s="247"/>
      <c r="J193" s="247"/>
      <c r="K193" s="247"/>
      <c r="L193" s="247"/>
      <c r="M193" s="247"/>
      <c r="N193" s="247"/>
      <c r="O193" s="247"/>
      <c r="P193" s="247"/>
      <c r="Q193" s="247"/>
      <c r="R193" s="269" t="s">
        <v>1410</v>
      </c>
      <c r="S193" s="919"/>
      <c r="T193" s="919"/>
      <c r="U193" s="930"/>
    </row>
    <row r="194" spans="1:21" ht="48.6" thickBot="1" x14ac:dyDescent="0.35">
      <c r="A194" s="249" t="s">
        <v>1411</v>
      </c>
      <c r="B194" s="264" t="s">
        <v>1412</v>
      </c>
      <c r="C194" s="263">
        <v>0</v>
      </c>
      <c r="D194" s="263">
        <v>0.7</v>
      </c>
      <c r="E194" s="254">
        <v>0.7</v>
      </c>
      <c r="F194" s="252">
        <f>E194*5*1000</f>
        <v>3500</v>
      </c>
      <c r="G194" s="252" t="s">
        <v>32</v>
      </c>
      <c r="H194" s="252"/>
      <c r="I194" s="252"/>
      <c r="J194" s="252"/>
      <c r="K194" s="252"/>
      <c r="L194" s="252"/>
      <c r="M194" s="252"/>
      <c r="N194" s="252"/>
      <c r="O194" s="252"/>
      <c r="P194" s="252"/>
      <c r="Q194" s="293"/>
      <c r="R194" s="254" t="s">
        <v>1413</v>
      </c>
      <c r="S194" s="255"/>
      <c r="T194" s="256" t="s">
        <v>252</v>
      </c>
      <c r="U194" s="258" t="s">
        <v>1215</v>
      </c>
    </row>
    <row r="195" spans="1:21" x14ac:dyDescent="0.3">
      <c r="A195" s="922" t="s">
        <v>1414</v>
      </c>
      <c r="B195" s="923" t="s">
        <v>1415</v>
      </c>
      <c r="C195" s="265">
        <v>0</v>
      </c>
      <c r="D195" s="265">
        <v>0.48</v>
      </c>
      <c r="E195" s="938">
        <v>2.83</v>
      </c>
      <c r="F195" s="941">
        <f>E195*6*1000</f>
        <v>16980</v>
      </c>
      <c r="G195" s="941" t="s">
        <v>32</v>
      </c>
      <c r="H195" s="260"/>
      <c r="I195" s="260"/>
      <c r="J195" s="260"/>
      <c r="K195" s="260"/>
      <c r="L195" s="260"/>
      <c r="M195" s="260"/>
      <c r="N195" s="260"/>
      <c r="O195" s="260"/>
      <c r="P195" s="260"/>
      <c r="Q195" s="260"/>
      <c r="R195" s="261" t="s">
        <v>1416</v>
      </c>
      <c r="S195" s="927"/>
      <c r="T195" s="928" t="s">
        <v>252</v>
      </c>
      <c r="U195" s="929" t="s">
        <v>1215</v>
      </c>
    </row>
    <row r="196" spans="1:21" x14ac:dyDescent="0.3">
      <c r="A196" s="931"/>
      <c r="B196" s="945"/>
      <c r="C196" s="267">
        <v>0.48</v>
      </c>
      <c r="D196" s="267">
        <v>0.91</v>
      </c>
      <c r="E196" s="940"/>
      <c r="F196" s="944"/>
      <c r="G196" s="944"/>
      <c r="H196" s="268"/>
      <c r="I196" s="268"/>
      <c r="J196" s="268"/>
      <c r="K196" s="268"/>
      <c r="L196" s="268"/>
      <c r="M196" s="268"/>
      <c r="N196" s="268"/>
      <c r="O196" s="268"/>
      <c r="P196" s="268"/>
      <c r="Q196" s="268"/>
      <c r="R196" s="267" t="s">
        <v>1417</v>
      </c>
      <c r="S196" s="947"/>
      <c r="T196" s="936"/>
      <c r="U196" s="937"/>
    </row>
    <row r="197" spans="1:21" x14ac:dyDescent="0.3">
      <c r="A197" s="931"/>
      <c r="B197" s="945"/>
      <c r="C197" s="940">
        <v>0.91</v>
      </c>
      <c r="D197" s="940">
        <v>1.6</v>
      </c>
      <c r="E197" s="940"/>
      <c r="F197" s="944"/>
      <c r="G197" s="944"/>
      <c r="H197" s="268"/>
      <c r="I197" s="268"/>
      <c r="J197" s="268"/>
      <c r="K197" s="268"/>
      <c r="L197" s="268"/>
      <c r="M197" s="268"/>
      <c r="N197" s="268"/>
      <c r="O197" s="268"/>
      <c r="P197" s="268"/>
      <c r="Q197" s="268"/>
      <c r="R197" s="266" t="s">
        <v>1418</v>
      </c>
      <c r="S197" s="947"/>
      <c r="T197" s="936"/>
      <c r="U197" s="937"/>
    </row>
    <row r="198" spans="1:21" x14ac:dyDescent="0.3">
      <c r="A198" s="931"/>
      <c r="B198" s="945"/>
      <c r="C198" s="940"/>
      <c r="D198" s="940"/>
      <c r="E198" s="940"/>
      <c r="F198" s="944"/>
      <c r="G198" s="944"/>
      <c r="H198" s="268"/>
      <c r="I198" s="268"/>
      <c r="J198" s="268"/>
      <c r="K198" s="268"/>
      <c r="L198" s="268"/>
      <c r="M198" s="268"/>
      <c r="N198" s="268"/>
      <c r="O198" s="268"/>
      <c r="P198" s="268"/>
      <c r="Q198" s="268"/>
      <c r="R198" s="266" t="s">
        <v>1419</v>
      </c>
      <c r="S198" s="947"/>
      <c r="T198" s="936"/>
      <c r="U198" s="937"/>
    </row>
    <row r="199" spans="1:21" x14ac:dyDescent="0.3">
      <c r="A199" s="931"/>
      <c r="B199" s="945"/>
      <c r="C199" s="267">
        <v>1.6</v>
      </c>
      <c r="D199" s="273">
        <v>2.56</v>
      </c>
      <c r="E199" s="940"/>
      <c r="F199" s="944"/>
      <c r="G199" s="944"/>
      <c r="H199" s="268"/>
      <c r="I199" s="268"/>
      <c r="J199" s="268"/>
      <c r="K199" s="268"/>
      <c r="L199" s="268"/>
      <c r="M199" s="268"/>
      <c r="N199" s="268"/>
      <c r="O199" s="268"/>
      <c r="P199" s="268"/>
      <c r="Q199" s="268"/>
      <c r="R199" s="266" t="s">
        <v>1420</v>
      </c>
      <c r="S199" s="947"/>
      <c r="T199" s="936"/>
      <c r="U199" s="937"/>
    </row>
    <row r="200" spans="1:21" x14ac:dyDescent="0.3">
      <c r="A200" s="931"/>
      <c r="B200" s="945"/>
      <c r="C200" s="940">
        <v>2.56</v>
      </c>
      <c r="D200" s="944">
        <v>2.83</v>
      </c>
      <c r="E200" s="940"/>
      <c r="F200" s="944"/>
      <c r="G200" s="944"/>
      <c r="H200" s="268"/>
      <c r="I200" s="268"/>
      <c r="J200" s="268"/>
      <c r="K200" s="268"/>
      <c r="L200" s="268"/>
      <c r="M200" s="268"/>
      <c r="N200" s="268"/>
      <c r="O200" s="268"/>
      <c r="P200" s="268"/>
      <c r="Q200" s="268"/>
      <c r="R200" s="267" t="s">
        <v>1421</v>
      </c>
      <c r="S200" s="947"/>
      <c r="T200" s="936"/>
      <c r="U200" s="937"/>
    </row>
    <row r="201" spans="1:21" ht="15" thickBot="1" x14ac:dyDescent="0.35">
      <c r="A201" s="907"/>
      <c r="B201" s="924"/>
      <c r="C201" s="939"/>
      <c r="D201" s="942"/>
      <c r="E201" s="939"/>
      <c r="F201" s="942"/>
      <c r="G201" s="942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  <c r="R201" s="269" t="s">
        <v>1420</v>
      </c>
      <c r="S201" s="917"/>
      <c r="T201" s="919"/>
      <c r="U201" s="930"/>
    </row>
    <row r="202" spans="1:21" x14ac:dyDescent="0.3">
      <c r="A202" s="922" t="s">
        <v>1422</v>
      </c>
      <c r="B202" s="932" t="s">
        <v>1423</v>
      </c>
      <c r="C202" s="261">
        <v>0</v>
      </c>
      <c r="D202" s="261">
        <v>0.25</v>
      </c>
      <c r="E202" s="899">
        <v>0.43</v>
      </c>
      <c r="F202" s="901">
        <f>E202*6*1000</f>
        <v>2580</v>
      </c>
      <c r="G202" s="901" t="s">
        <v>32</v>
      </c>
      <c r="H202" s="260"/>
      <c r="I202" s="260"/>
      <c r="J202" s="260"/>
      <c r="K202" s="260"/>
      <c r="L202" s="260"/>
      <c r="M202" s="260"/>
      <c r="N202" s="260"/>
      <c r="O202" s="260"/>
      <c r="P202" s="260"/>
      <c r="Q202" s="260"/>
      <c r="R202" s="261" t="s">
        <v>1424</v>
      </c>
      <c r="S202" s="927"/>
      <c r="T202" s="928" t="s">
        <v>252</v>
      </c>
      <c r="U202" s="943"/>
    </row>
    <row r="203" spans="1:21" ht="68.25" customHeight="1" thickBot="1" x14ac:dyDescent="0.35">
      <c r="A203" s="907"/>
      <c r="B203" s="934"/>
      <c r="C203" s="248">
        <v>0.25</v>
      </c>
      <c r="D203" s="248">
        <v>0.43</v>
      </c>
      <c r="E203" s="935"/>
      <c r="F203" s="903"/>
      <c r="G203" s="903"/>
      <c r="H203" s="247"/>
      <c r="I203" s="247"/>
      <c r="J203" s="247"/>
      <c r="K203" s="247"/>
      <c r="L203" s="247"/>
      <c r="M203" s="247"/>
      <c r="N203" s="247"/>
      <c r="O203" s="247"/>
      <c r="P203" s="247"/>
      <c r="Q203" s="247"/>
      <c r="R203" s="248" t="s">
        <v>1425</v>
      </c>
      <c r="S203" s="917"/>
      <c r="T203" s="919"/>
      <c r="U203" s="921"/>
    </row>
    <row r="204" spans="1:21" x14ac:dyDescent="0.3">
      <c r="A204" s="922" t="s">
        <v>1426</v>
      </c>
      <c r="B204" s="932" t="s">
        <v>1427</v>
      </c>
      <c r="C204" s="265">
        <v>0</v>
      </c>
      <c r="D204" s="265">
        <v>0.32</v>
      </c>
      <c r="E204" s="938">
        <v>1.23</v>
      </c>
      <c r="F204" s="941">
        <f>E204*5*1000</f>
        <v>6150</v>
      </c>
      <c r="G204" s="941" t="s">
        <v>32</v>
      </c>
      <c r="H204" s="260"/>
      <c r="I204" s="260"/>
      <c r="J204" s="260"/>
      <c r="K204" s="260"/>
      <c r="L204" s="260"/>
      <c r="M204" s="260"/>
      <c r="N204" s="260"/>
      <c r="O204" s="260"/>
      <c r="P204" s="260"/>
      <c r="Q204" s="260"/>
      <c r="R204" s="261" t="s">
        <v>1428</v>
      </c>
      <c r="S204" s="927"/>
      <c r="T204" s="928" t="s">
        <v>252</v>
      </c>
      <c r="U204" s="943"/>
    </row>
    <row r="205" spans="1:21" x14ac:dyDescent="0.3">
      <c r="A205" s="931"/>
      <c r="B205" s="933"/>
      <c r="C205" s="267">
        <v>0.32</v>
      </c>
      <c r="D205" s="267">
        <v>0.74</v>
      </c>
      <c r="E205" s="940"/>
      <c r="F205" s="944"/>
      <c r="G205" s="944"/>
      <c r="H205" s="268"/>
      <c r="I205" s="268"/>
      <c r="J205" s="268"/>
      <c r="K205" s="268"/>
      <c r="L205" s="268"/>
      <c r="M205" s="268"/>
      <c r="N205" s="268"/>
      <c r="O205" s="268"/>
      <c r="P205" s="268"/>
      <c r="Q205" s="268"/>
      <c r="R205" s="266" t="s">
        <v>1206</v>
      </c>
      <c r="S205" s="947"/>
      <c r="T205" s="936"/>
      <c r="U205" s="946"/>
    </row>
    <row r="206" spans="1:21" ht="60.75" customHeight="1" thickBot="1" x14ac:dyDescent="0.35">
      <c r="A206" s="907"/>
      <c r="B206" s="934"/>
      <c r="C206" s="269">
        <v>0.74</v>
      </c>
      <c r="D206" s="269">
        <v>1.23</v>
      </c>
      <c r="E206" s="939"/>
      <c r="F206" s="942"/>
      <c r="G206" s="942"/>
      <c r="H206" s="247"/>
      <c r="I206" s="247"/>
      <c r="J206" s="247"/>
      <c r="K206" s="247"/>
      <c r="L206" s="247"/>
      <c r="M206" s="247"/>
      <c r="N206" s="247"/>
      <c r="O206" s="247"/>
      <c r="P206" s="247"/>
      <c r="Q206" s="247"/>
      <c r="R206" s="248" t="s">
        <v>1429</v>
      </c>
      <c r="S206" s="917"/>
      <c r="T206" s="919"/>
      <c r="U206" s="921"/>
    </row>
    <row r="207" spans="1:21" ht="48.6" thickBot="1" x14ac:dyDescent="0.35">
      <c r="A207" s="249" t="s">
        <v>1430</v>
      </c>
      <c r="B207" s="264" t="s">
        <v>1431</v>
      </c>
      <c r="C207" s="254">
        <v>0</v>
      </c>
      <c r="D207" s="254">
        <v>0.7</v>
      </c>
      <c r="E207" s="254">
        <v>0.7</v>
      </c>
      <c r="F207" s="252">
        <f>D207*5*1000</f>
        <v>3500</v>
      </c>
      <c r="G207" s="252" t="s">
        <v>32</v>
      </c>
      <c r="H207" s="252"/>
      <c r="I207" s="252"/>
      <c r="J207" s="252"/>
      <c r="K207" s="252"/>
      <c r="L207" s="252"/>
      <c r="M207" s="252"/>
      <c r="N207" s="252"/>
      <c r="O207" s="252"/>
      <c r="P207" s="252"/>
      <c r="Q207" s="252"/>
      <c r="R207" s="254" t="s">
        <v>1432</v>
      </c>
      <c r="S207" s="255"/>
      <c r="T207" s="256" t="s">
        <v>252</v>
      </c>
      <c r="U207" s="66"/>
    </row>
    <row r="208" spans="1:21" x14ac:dyDescent="0.3">
      <c r="A208" s="922" t="s">
        <v>1433</v>
      </c>
      <c r="B208" s="932" t="s">
        <v>1434</v>
      </c>
      <c r="C208" s="265">
        <v>0</v>
      </c>
      <c r="D208" s="265">
        <v>1.18</v>
      </c>
      <c r="E208" s="899">
        <v>1.5</v>
      </c>
      <c r="F208" s="901">
        <f>E208*6*1000</f>
        <v>9000</v>
      </c>
      <c r="G208" s="901" t="s">
        <v>32</v>
      </c>
      <c r="H208" s="260"/>
      <c r="I208" s="260"/>
      <c r="J208" s="260"/>
      <c r="K208" s="260"/>
      <c r="L208" s="260"/>
      <c r="M208" s="260"/>
      <c r="N208" s="260"/>
      <c r="O208" s="260"/>
      <c r="P208" s="260"/>
      <c r="Q208" s="260"/>
      <c r="R208" s="261" t="s">
        <v>1435</v>
      </c>
      <c r="S208" s="928"/>
      <c r="T208" s="928" t="s">
        <v>252</v>
      </c>
      <c r="U208" s="929"/>
    </row>
    <row r="209" spans="1:21" x14ac:dyDescent="0.3">
      <c r="A209" s="931"/>
      <c r="B209" s="933"/>
      <c r="C209" s="940">
        <v>1.18</v>
      </c>
      <c r="D209" s="940">
        <v>1.5</v>
      </c>
      <c r="E209" s="900"/>
      <c r="F209" s="902"/>
      <c r="G209" s="902"/>
      <c r="H209" s="268"/>
      <c r="I209" s="268"/>
      <c r="J209" s="268"/>
      <c r="K209" s="268"/>
      <c r="L209" s="268"/>
      <c r="M209" s="268"/>
      <c r="N209" s="268"/>
      <c r="O209" s="268"/>
      <c r="P209" s="268"/>
      <c r="Q209" s="268"/>
      <c r="R209" s="266" t="s">
        <v>1436</v>
      </c>
      <c r="S209" s="936"/>
      <c r="T209" s="936"/>
      <c r="U209" s="937"/>
    </row>
    <row r="210" spans="1:21" ht="52.5" customHeight="1" thickBot="1" x14ac:dyDescent="0.35">
      <c r="A210" s="907"/>
      <c r="B210" s="934"/>
      <c r="C210" s="939"/>
      <c r="D210" s="939"/>
      <c r="E210" s="935"/>
      <c r="F210" s="903"/>
      <c r="G210" s="903"/>
      <c r="H210" s="247"/>
      <c r="I210" s="247"/>
      <c r="J210" s="247"/>
      <c r="K210" s="247"/>
      <c r="L210" s="247"/>
      <c r="M210" s="247"/>
      <c r="N210" s="247"/>
      <c r="O210" s="247"/>
      <c r="P210" s="247"/>
      <c r="Q210" s="247"/>
      <c r="R210" s="248" t="s">
        <v>1437</v>
      </c>
      <c r="S210" s="919"/>
      <c r="T210" s="919"/>
      <c r="U210" s="930"/>
    </row>
    <row r="211" spans="1:21" x14ac:dyDescent="0.3">
      <c r="A211" s="922" t="s">
        <v>1438</v>
      </c>
      <c r="B211" s="923" t="s">
        <v>1439</v>
      </c>
      <c r="C211" s="938">
        <v>0</v>
      </c>
      <c r="D211" s="938">
        <v>0.27</v>
      </c>
      <c r="E211" s="938">
        <v>0.72</v>
      </c>
      <c r="F211" s="941">
        <f>E211*4*1000</f>
        <v>2880</v>
      </c>
      <c r="G211" s="941" t="s">
        <v>32</v>
      </c>
      <c r="H211" s="260"/>
      <c r="I211" s="260"/>
      <c r="J211" s="260"/>
      <c r="K211" s="260"/>
      <c r="L211" s="260"/>
      <c r="M211" s="260"/>
      <c r="N211" s="260"/>
      <c r="O211" s="260"/>
      <c r="P211" s="260"/>
      <c r="Q211" s="260"/>
      <c r="R211" s="265" t="s">
        <v>1124</v>
      </c>
      <c r="S211" s="901"/>
      <c r="T211" s="928" t="s">
        <v>252</v>
      </c>
      <c r="U211" s="943"/>
    </row>
    <row r="212" spans="1:21" x14ac:dyDescent="0.3">
      <c r="A212" s="931"/>
      <c r="B212" s="945"/>
      <c r="C212" s="940"/>
      <c r="D212" s="940"/>
      <c r="E212" s="940"/>
      <c r="F212" s="944"/>
      <c r="G212" s="944"/>
      <c r="H212" s="268"/>
      <c r="I212" s="268"/>
      <c r="J212" s="268"/>
      <c r="K212" s="268"/>
      <c r="L212" s="268"/>
      <c r="M212" s="268"/>
      <c r="N212" s="268"/>
      <c r="O212" s="268"/>
      <c r="P212" s="268"/>
      <c r="Q212" s="268"/>
      <c r="R212" s="266" t="s">
        <v>1440</v>
      </c>
      <c r="S212" s="902"/>
      <c r="T212" s="936"/>
      <c r="U212" s="946"/>
    </row>
    <row r="213" spans="1:21" x14ac:dyDescent="0.3">
      <c r="A213" s="931"/>
      <c r="B213" s="945"/>
      <c r="C213" s="940">
        <v>0.27</v>
      </c>
      <c r="D213" s="940">
        <v>0.72</v>
      </c>
      <c r="E213" s="940"/>
      <c r="F213" s="944"/>
      <c r="G213" s="944"/>
      <c r="H213" s="268"/>
      <c r="I213" s="268"/>
      <c r="J213" s="268"/>
      <c r="K213" s="268"/>
      <c r="L213" s="268"/>
      <c r="M213" s="268"/>
      <c r="N213" s="268"/>
      <c r="O213" s="268"/>
      <c r="P213" s="268"/>
      <c r="Q213" s="268"/>
      <c r="R213" s="266" t="s">
        <v>1441</v>
      </c>
      <c r="S213" s="902"/>
      <c r="T213" s="936"/>
      <c r="U213" s="946"/>
    </row>
    <row r="214" spans="1:21" x14ac:dyDescent="0.3">
      <c r="A214" s="931"/>
      <c r="B214" s="945"/>
      <c r="C214" s="940"/>
      <c r="D214" s="940"/>
      <c r="E214" s="940"/>
      <c r="F214" s="944"/>
      <c r="G214" s="944"/>
      <c r="H214" s="268"/>
      <c r="I214" s="268"/>
      <c r="J214" s="268"/>
      <c r="K214" s="268"/>
      <c r="L214" s="268"/>
      <c r="M214" s="268"/>
      <c r="N214" s="268"/>
      <c r="O214" s="268"/>
      <c r="P214" s="268"/>
      <c r="Q214" s="268"/>
      <c r="R214" s="266" t="s">
        <v>1442</v>
      </c>
      <c r="S214" s="902"/>
      <c r="T214" s="936"/>
      <c r="U214" s="946"/>
    </row>
    <row r="215" spans="1:21" ht="15" thickBot="1" x14ac:dyDescent="0.35">
      <c r="A215" s="907"/>
      <c r="B215" s="924"/>
      <c r="C215" s="939"/>
      <c r="D215" s="939"/>
      <c r="E215" s="939"/>
      <c r="F215" s="942"/>
      <c r="G215" s="942"/>
      <c r="H215" s="247"/>
      <c r="I215" s="247"/>
      <c r="J215" s="247"/>
      <c r="K215" s="247"/>
      <c r="L215" s="247"/>
      <c r="M215" s="247"/>
      <c r="N215" s="247"/>
      <c r="O215" s="247"/>
      <c r="P215" s="247"/>
      <c r="Q215" s="247"/>
      <c r="R215" s="248" t="s">
        <v>1443</v>
      </c>
      <c r="S215" s="903"/>
      <c r="T215" s="919"/>
      <c r="U215" s="921"/>
    </row>
    <row r="216" spans="1:21" x14ac:dyDescent="0.3">
      <c r="A216" s="922" t="s">
        <v>1444</v>
      </c>
      <c r="B216" s="932" t="s">
        <v>1445</v>
      </c>
      <c r="C216" s="265">
        <v>0</v>
      </c>
      <c r="D216" s="265">
        <v>1.21</v>
      </c>
      <c r="E216" s="899">
        <v>1.62</v>
      </c>
      <c r="F216" s="901">
        <f>E216*7*1000</f>
        <v>11340</v>
      </c>
      <c r="G216" s="901" t="s">
        <v>32</v>
      </c>
      <c r="H216" s="260"/>
      <c r="I216" s="260"/>
      <c r="J216" s="260"/>
      <c r="K216" s="260"/>
      <c r="L216" s="260"/>
      <c r="M216" s="260"/>
      <c r="N216" s="260"/>
      <c r="O216" s="260"/>
      <c r="P216" s="260"/>
      <c r="Q216" s="260"/>
      <c r="R216" s="261" t="s">
        <v>1446</v>
      </c>
      <c r="S216" s="927"/>
      <c r="T216" s="928" t="s">
        <v>252</v>
      </c>
      <c r="U216" s="943"/>
    </row>
    <row r="217" spans="1:21" x14ac:dyDescent="0.3">
      <c r="A217" s="931"/>
      <c r="B217" s="933"/>
      <c r="C217" s="940">
        <v>1.21</v>
      </c>
      <c r="D217" s="940">
        <v>1.62</v>
      </c>
      <c r="E217" s="900"/>
      <c r="F217" s="902"/>
      <c r="G217" s="902"/>
      <c r="H217" s="268"/>
      <c r="I217" s="268"/>
      <c r="J217" s="268"/>
      <c r="K217" s="268"/>
      <c r="L217" s="268"/>
      <c r="M217" s="268"/>
      <c r="N217" s="268"/>
      <c r="O217" s="268"/>
      <c r="P217" s="268"/>
      <c r="Q217" s="268"/>
      <c r="R217" s="266" t="s">
        <v>1446</v>
      </c>
      <c r="S217" s="947"/>
      <c r="T217" s="936"/>
      <c r="U217" s="946"/>
    </row>
    <row r="218" spans="1:21" x14ac:dyDescent="0.3">
      <c r="A218" s="931"/>
      <c r="B218" s="933"/>
      <c r="C218" s="940"/>
      <c r="D218" s="940"/>
      <c r="E218" s="900"/>
      <c r="F218" s="902"/>
      <c r="G218" s="902"/>
      <c r="H218" s="268"/>
      <c r="I218" s="268"/>
      <c r="J218" s="268"/>
      <c r="K218" s="268"/>
      <c r="L218" s="268"/>
      <c r="M218" s="268"/>
      <c r="N218" s="268"/>
      <c r="O218" s="268"/>
      <c r="P218" s="268"/>
      <c r="Q218" s="268"/>
      <c r="R218" s="267" t="s">
        <v>1447</v>
      </c>
      <c r="S218" s="947"/>
      <c r="T218" s="936"/>
      <c r="U218" s="946"/>
    </row>
    <row r="219" spans="1:21" ht="38.25" customHeight="1" thickBot="1" x14ac:dyDescent="0.35">
      <c r="A219" s="907"/>
      <c r="B219" s="934"/>
      <c r="C219" s="939"/>
      <c r="D219" s="939"/>
      <c r="E219" s="935"/>
      <c r="F219" s="903"/>
      <c r="G219" s="903"/>
      <c r="H219" s="247"/>
      <c r="I219" s="247"/>
      <c r="J219" s="247"/>
      <c r="K219" s="247"/>
      <c r="L219" s="247"/>
      <c r="M219" s="247"/>
      <c r="N219" s="247"/>
      <c r="O219" s="247"/>
      <c r="P219" s="247"/>
      <c r="Q219" s="247"/>
      <c r="R219" s="248" t="s">
        <v>1448</v>
      </c>
      <c r="S219" s="917"/>
      <c r="T219" s="919"/>
      <c r="U219" s="921"/>
    </row>
    <row r="220" spans="1:21" x14ac:dyDescent="0.3">
      <c r="A220" s="922" t="s">
        <v>1449</v>
      </c>
      <c r="B220" s="932" t="s">
        <v>1450</v>
      </c>
      <c r="C220" s="938">
        <v>0</v>
      </c>
      <c r="D220" s="938">
        <v>0.95</v>
      </c>
      <c r="E220" s="899">
        <v>0.95</v>
      </c>
      <c r="F220" s="901">
        <f>E220*5*1000</f>
        <v>4750</v>
      </c>
      <c r="G220" s="901" t="s">
        <v>32</v>
      </c>
      <c r="H220" s="260"/>
      <c r="I220" s="260"/>
      <c r="J220" s="260"/>
      <c r="K220" s="260"/>
      <c r="L220" s="260"/>
      <c r="M220" s="260"/>
      <c r="N220" s="260"/>
      <c r="O220" s="260"/>
      <c r="P220" s="260"/>
      <c r="Q220" s="260"/>
      <c r="R220" s="265" t="s">
        <v>1451</v>
      </c>
      <c r="S220" s="901"/>
      <c r="T220" s="928" t="s">
        <v>252</v>
      </c>
      <c r="U220" s="929"/>
    </row>
    <row r="221" spans="1:21" x14ac:dyDescent="0.3">
      <c r="A221" s="931"/>
      <c r="B221" s="933"/>
      <c r="C221" s="940"/>
      <c r="D221" s="940"/>
      <c r="E221" s="900"/>
      <c r="F221" s="902"/>
      <c r="G221" s="902"/>
      <c r="H221" s="268"/>
      <c r="I221" s="268"/>
      <c r="J221" s="268"/>
      <c r="K221" s="268"/>
      <c r="L221" s="268"/>
      <c r="M221" s="268"/>
      <c r="N221" s="268"/>
      <c r="O221" s="268"/>
      <c r="P221" s="268"/>
      <c r="Q221" s="268"/>
      <c r="R221" s="266" t="s">
        <v>1452</v>
      </c>
      <c r="S221" s="902"/>
      <c r="T221" s="936"/>
      <c r="U221" s="937"/>
    </row>
    <row r="222" spans="1:21" x14ac:dyDescent="0.3">
      <c r="A222" s="931"/>
      <c r="B222" s="933"/>
      <c r="C222" s="940"/>
      <c r="D222" s="940"/>
      <c r="E222" s="900"/>
      <c r="F222" s="902"/>
      <c r="G222" s="902"/>
      <c r="H222" s="268"/>
      <c r="I222" s="268"/>
      <c r="J222" s="268"/>
      <c r="K222" s="268"/>
      <c r="L222" s="268"/>
      <c r="M222" s="268"/>
      <c r="N222" s="268"/>
      <c r="O222" s="268"/>
      <c r="P222" s="268"/>
      <c r="Q222" s="268"/>
      <c r="R222" s="266" t="s">
        <v>1453</v>
      </c>
      <c r="S222" s="902"/>
      <c r="T222" s="936"/>
      <c r="U222" s="937"/>
    </row>
    <row r="223" spans="1:21" x14ac:dyDescent="0.3">
      <c r="A223" s="931"/>
      <c r="B223" s="933"/>
      <c r="C223" s="940"/>
      <c r="D223" s="940"/>
      <c r="E223" s="900"/>
      <c r="F223" s="902"/>
      <c r="G223" s="902"/>
      <c r="H223" s="268"/>
      <c r="I223" s="268"/>
      <c r="J223" s="268"/>
      <c r="K223" s="268"/>
      <c r="L223" s="268"/>
      <c r="M223" s="268"/>
      <c r="N223" s="268"/>
      <c r="O223" s="268"/>
      <c r="P223" s="268"/>
      <c r="Q223" s="268"/>
      <c r="R223" s="266" t="s">
        <v>1454</v>
      </c>
      <c r="S223" s="902"/>
      <c r="T223" s="936"/>
      <c r="U223" s="937"/>
    </row>
    <row r="224" spans="1:21" ht="15" thickBot="1" x14ac:dyDescent="0.35">
      <c r="A224" s="907"/>
      <c r="B224" s="934"/>
      <c r="C224" s="939"/>
      <c r="D224" s="939"/>
      <c r="E224" s="935"/>
      <c r="F224" s="903"/>
      <c r="G224" s="903"/>
      <c r="H224" s="247"/>
      <c r="I224" s="247"/>
      <c r="J224" s="247"/>
      <c r="K224" s="247"/>
      <c r="L224" s="247"/>
      <c r="M224" s="247"/>
      <c r="N224" s="247"/>
      <c r="O224" s="247"/>
      <c r="P224" s="247"/>
      <c r="Q224" s="247"/>
      <c r="R224" s="248" t="s">
        <v>1455</v>
      </c>
      <c r="S224" s="903"/>
      <c r="T224" s="919"/>
      <c r="U224" s="930"/>
    </row>
    <row r="225" spans="1:21" x14ac:dyDescent="0.3">
      <c r="A225" s="922" t="s">
        <v>1456</v>
      </c>
      <c r="B225" s="932" t="s">
        <v>1457</v>
      </c>
      <c r="C225" s="261">
        <v>0</v>
      </c>
      <c r="D225" s="261">
        <v>0.21</v>
      </c>
      <c r="E225" s="899">
        <v>0.38</v>
      </c>
      <c r="F225" s="901">
        <f>E225*4*1000</f>
        <v>1520</v>
      </c>
      <c r="G225" s="901" t="s">
        <v>32</v>
      </c>
      <c r="H225" s="260"/>
      <c r="I225" s="260"/>
      <c r="J225" s="260"/>
      <c r="K225" s="260"/>
      <c r="L225" s="260"/>
      <c r="M225" s="260"/>
      <c r="N225" s="260"/>
      <c r="O225" s="260"/>
      <c r="P225" s="260"/>
      <c r="Q225" s="260"/>
      <c r="R225" s="261" t="s">
        <v>1458</v>
      </c>
      <c r="S225" s="901"/>
      <c r="T225" s="928" t="s">
        <v>252</v>
      </c>
      <c r="U225" s="943"/>
    </row>
    <row r="226" spans="1:21" ht="72.75" customHeight="1" thickBot="1" x14ac:dyDescent="0.35">
      <c r="A226" s="907"/>
      <c r="B226" s="934"/>
      <c r="C226" s="248">
        <v>0.21</v>
      </c>
      <c r="D226" s="248">
        <v>0.38</v>
      </c>
      <c r="E226" s="935"/>
      <c r="F226" s="903"/>
      <c r="G226" s="903"/>
      <c r="H226" s="247"/>
      <c r="I226" s="247"/>
      <c r="J226" s="247"/>
      <c r="K226" s="247"/>
      <c r="L226" s="247"/>
      <c r="M226" s="247"/>
      <c r="N226" s="247"/>
      <c r="O226" s="247"/>
      <c r="P226" s="247"/>
      <c r="Q226" s="247"/>
      <c r="R226" s="248" t="s">
        <v>1459</v>
      </c>
      <c r="S226" s="903"/>
      <c r="T226" s="919"/>
      <c r="U226" s="921"/>
    </row>
    <row r="227" spans="1:21" x14ac:dyDescent="0.3">
      <c r="A227" s="922" t="s">
        <v>1460</v>
      </c>
      <c r="B227" s="932" t="s">
        <v>1461</v>
      </c>
      <c r="C227" s="938">
        <v>0</v>
      </c>
      <c r="D227" s="938">
        <v>0.25</v>
      </c>
      <c r="E227" s="938">
        <v>0.25</v>
      </c>
      <c r="F227" s="941">
        <f>E227*3.5*1000</f>
        <v>875</v>
      </c>
      <c r="G227" s="941" t="s">
        <v>32</v>
      </c>
      <c r="H227" s="260"/>
      <c r="I227" s="260"/>
      <c r="J227" s="260"/>
      <c r="K227" s="260"/>
      <c r="L227" s="260"/>
      <c r="M227" s="260"/>
      <c r="N227" s="260"/>
      <c r="O227" s="260"/>
      <c r="P227" s="260"/>
      <c r="Q227" s="260"/>
      <c r="R227" s="261" t="s">
        <v>1236</v>
      </c>
      <c r="S227" s="901"/>
      <c r="T227" s="928" t="s">
        <v>252</v>
      </c>
      <c r="U227" s="929" t="s">
        <v>1215</v>
      </c>
    </row>
    <row r="228" spans="1:21" ht="75.75" customHeight="1" thickBot="1" x14ac:dyDescent="0.35">
      <c r="A228" s="907"/>
      <c r="B228" s="934"/>
      <c r="C228" s="939"/>
      <c r="D228" s="939"/>
      <c r="E228" s="939"/>
      <c r="F228" s="942"/>
      <c r="G228" s="942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8" t="s">
        <v>1462</v>
      </c>
      <c r="S228" s="903"/>
      <c r="T228" s="919"/>
      <c r="U228" s="930"/>
    </row>
    <row r="229" spans="1:21" x14ac:dyDescent="0.3">
      <c r="A229" s="922" t="s">
        <v>1463</v>
      </c>
      <c r="B229" s="923" t="s">
        <v>1464</v>
      </c>
      <c r="C229" s="938">
        <v>0</v>
      </c>
      <c r="D229" s="938">
        <v>0.84</v>
      </c>
      <c r="E229" s="938">
        <v>0.92</v>
      </c>
      <c r="F229" s="901">
        <f>E229*5*1000</f>
        <v>4600.0000000000009</v>
      </c>
      <c r="G229" s="901" t="s">
        <v>32</v>
      </c>
      <c r="H229" s="260"/>
      <c r="I229" s="260"/>
      <c r="J229" s="260"/>
      <c r="K229" s="260"/>
      <c r="L229" s="260"/>
      <c r="M229" s="260"/>
      <c r="N229" s="260"/>
      <c r="O229" s="260"/>
      <c r="P229" s="260"/>
      <c r="Q229" s="260"/>
      <c r="R229" s="261" t="s">
        <v>1465</v>
      </c>
      <c r="S229" s="901"/>
      <c r="T229" s="928" t="s">
        <v>252</v>
      </c>
      <c r="U229" s="943"/>
    </row>
    <row r="230" spans="1:21" x14ac:dyDescent="0.3">
      <c r="A230" s="931"/>
      <c r="B230" s="945"/>
      <c r="C230" s="940"/>
      <c r="D230" s="940"/>
      <c r="E230" s="940"/>
      <c r="F230" s="902"/>
      <c r="G230" s="902"/>
      <c r="H230" s="268"/>
      <c r="I230" s="268"/>
      <c r="J230" s="268"/>
      <c r="K230" s="268"/>
      <c r="L230" s="268"/>
      <c r="M230" s="268"/>
      <c r="N230" s="268"/>
      <c r="O230" s="268"/>
      <c r="P230" s="268"/>
      <c r="Q230" s="268"/>
      <c r="R230" s="266" t="s">
        <v>1466</v>
      </c>
      <c r="S230" s="902"/>
      <c r="T230" s="936"/>
      <c r="U230" s="946"/>
    </row>
    <row r="231" spans="1:21" x14ac:dyDescent="0.3">
      <c r="A231" s="931"/>
      <c r="B231" s="945"/>
      <c r="C231" s="940"/>
      <c r="D231" s="940"/>
      <c r="E231" s="940"/>
      <c r="F231" s="902"/>
      <c r="G231" s="902"/>
      <c r="H231" s="268"/>
      <c r="I231" s="268"/>
      <c r="J231" s="268"/>
      <c r="K231" s="268"/>
      <c r="L231" s="268"/>
      <c r="M231" s="268"/>
      <c r="N231" s="268"/>
      <c r="O231" s="268"/>
      <c r="P231" s="268"/>
      <c r="Q231" s="268"/>
      <c r="R231" s="266" t="s">
        <v>1467</v>
      </c>
      <c r="S231" s="902"/>
      <c r="T231" s="936"/>
      <c r="U231" s="946"/>
    </row>
    <row r="232" spans="1:21" x14ac:dyDescent="0.3">
      <c r="A232" s="931"/>
      <c r="B232" s="945"/>
      <c r="C232" s="940"/>
      <c r="D232" s="940"/>
      <c r="E232" s="940"/>
      <c r="F232" s="902"/>
      <c r="G232" s="902"/>
      <c r="H232" s="268"/>
      <c r="I232" s="268"/>
      <c r="J232" s="268"/>
      <c r="K232" s="268"/>
      <c r="L232" s="268"/>
      <c r="M232" s="268"/>
      <c r="N232" s="268"/>
      <c r="O232" s="268"/>
      <c r="P232" s="268"/>
      <c r="Q232" s="268"/>
      <c r="R232" s="266" t="s">
        <v>1468</v>
      </c>
      <c r="S232" s="902"/>
      <c r="T232" s="936"/>
      <c r="U232" s="946"/>
    </row>
    <row r="233" spans="1:21" x14ac:dyDescent="0.3">
      <c r="A233" s="931"/>
      <c r="B233" s="945"/>
      <c r="C233" s="940"/>
      <c r="D233" s="940"/>
      <c r="E233" s="940"/>
      <c r="F233" s="902"/>
      <c r="G233" s="902"/>
      <c r="H233" s="268"/>
      <c r="I233" s="268"/>
      <c r="J233" s="268"/>
      <c r="K233" s="268"/>
      <c r="L233" s="268"/>
      <c r="M233" s="268"/>
      <c r="N233" s="268"/>
      <c r="O233" s="268"/>
      <c r="P233" s="268"/>
      <c r="Q233" s="268"/>
      <c r="R233" s="266" t="s">
        <v>1469</v>
      </c>
      <c r="S233" s="902"/>
      <c r="T233" s="936"/>
      <c r="U233" s="946"/>
    </row>
    <row r="234" spans="1:21" ht="15" thickBot="1" x14ac:dyDescent="0.35">
      <c r="A234" s="907"/>
      <c r="B234" s="924"/>
      <c r="C234" s="269">
        <v>0.84</v>
      </c>
      <c r="D234" s="269">
        <v>0.92</v>
      </c>
      <c r="E234" s="939"/>
      <c r="F234" s="903"/>
      <c r="G234" s="903"/>
      <c r="H234" s="247"/>
      <c r="I234" s="247"/>
      <c r="J234" s="247"/>
      <c r="K234" s="247"/>
      <c r="L234" s="247"/>
      <c r="M234" s="247"/>
      <c r="N234" s="247"/>
      <c r="O234" s="247"/>
      <c r="P234" s="247"/>
      <c r="Q234" s="247"/>
      <c r="R234" s="248" t="s">
        <v>1470</v>
      </c>
      <c r="S234" s="903"/>
      <c r="T234" s="919"/>
      <c r="U234" s="921"/>
    </row>
    <row r="235" spans="1:21" x14ac:dyDescent="0.3">
      <c r="A235" s="922" t="s">
        <v>1471</v>
      </c>
      <c r="B235" s="923" t="s">
        <v>1472</v>
      </c>
      <c r="C235" s="938">
        <v>0</v>
      </c>
      <c r="D235" s="938">
        <v>0.15</v>
      </c>
      <c r="E235" s="938">
        <v>0.15</v>
      </c>
      <c r="F235" s="901">
        <f>E235*4*1000</f>
        <v>600</v>
      </c>
      <c r="G235" s="901" t="s">
        <v>32</v>
      </c>
      <c r="H235" s="260"/>
      <c r="I235" s="260"/>
      <c r="J235" s="260"/>
      <c r="K235" s="260"/>
      <c r="L235" s="260"/>
      <c r="M235" s="260"/>
      <c r="N235" s="260"/>
      <c r="O235" s="260"/>
      <c r="P235" s="260"/>
      <c r="Q235" s="260"/>
      <c r="R235" s="261" t="s">
        <v>1473</v>
      </c>
      <c r="S235" s="901"/>
      <c r="T235" s="928" t="s">
        <v>252</v>
      </c>
      <c r="U235" s="943"/>
    </row>
    <row r="236" spans="1:21" x14ac:dyDescent="0.3">
      <c r="A236" s="931"/>
      <c r="B236" s="945"/>
      <c r="C236" s="940"/>
      <c r="D236" s="940"/>
      <c r="E236" s="940"/>
      <c r="F236" s="902"/>
      <c r="G236" s="902"/>
      <c r="H236" s="268"/>
      <c r="I236" s="268"/>
      <c r="J236" s="268"/>
      <c r="K236" s="268"/>
      <c r="L236" s="268"/>
      <c r="M236" s="268"/>
      <c r="N236" s="268"/>
      <c r="O236" s="268"/>
      <c r="P236" s="268"/>
      <c r="Q236" s="268"/>
      <c r="R236" s="266" t="s">
        <v>1474</v>
      </c>
      <c r="S236" s="902"/>
      <c r="T236" s="936"/>
      <c r="U236" s="946"/>
    </row>
    <row r="237" spans="1:21" ht="58.5" customHeight="1" thickBot="1" x14ac:dyDescent="0.35">
      <c r="A237" s="907"/>
      <c r="B237" s="924"/>
      <c r="C237" s="939"/>
      <c r="D237" s="939"/>
      <c r="E237" s="939"/>
      <c r="F237" s="903"/>
      <c r="G237" s="903"/>
      <c r="H237" s="247"/>
      <c r="I237" s="247"/>
      <c r="J237" s="247"/>
      <c r="K237" s="247"/>
      <c r="L237" s="247"/>
      <c r="M237" s="247"/>
      <c r="N237" s="247"/>
      <c r="O237" s="247"/>
      <c r="P237" s="247"/>
      <c r="Q237" s="247"/>
      <c r="R237" s="248" t="s">
        <v>1475</v>
      </c>
      <c r="S237" s="903"/>
      <c r="T237" s="919"/>
      <c r="U237" s="921"/>
    </row>
    <row r="238" spans="1:21" x14ac:dyDescent="0.3">
      <c r="A238" s="922" t="s">
        <v>1476</v>
      </c>
      <c r="B238" s="923" t="s">
        <v>1477</v>
      </c>
      <c r="C238" s="261">
        <v>0</v>
      </c>
      <c r="D238" s="261">
        <v>0.15</v>
      </c>
      <c r="E238" s="899">
        <v>0.81</v>
      </c>
      <c r="F238" s="901">
        <f>E238*4*1000</f>
        <v>3240</v>
      </c>
      <c r="G238" s="901" t="s">
        <v>32</v>
      </c>
      <c r="H238" s="260"/>
      <c r="I238" s="260"/>
      <c r="J238" s="260"/>
      <c r="K238" s="260"/>
      <c r="L238" s="260"/>
      <c r="M238" s="260"/>
      <c r="N238" s="260"/>
      <c r="O238" s="260"/>
      <c r="P238" s="260"/>
      <c r="Q238" s="260"/>
      <c r="R238" s="261" t="s">
        <v>1478</v>
      </c>
      <c r="S238" s="901"/>
      <c r="T238" s="928" t="s">
        <v>252</v>
      </c>
      <c r="U238" s="929"/>
    </row>
    <row r="239" spans="1:21" ht="63" customHeight="1" thickBot="1" x14ac:dyDescent="0.35">
      <c r="A239" s="907"/>
      <c r="B239" s="924"/>
      <c r="C239" s="248">
        <v>0.15</v>
      </c>
      <c r="D239" s="248">
        <v>0.81</v>
      </c>
      <c r="E239" s="935"/>
      <c r="F239" s="903"/>
      <c r="G239" s="903"/>
      <c r="H239" s="247"/>
      <c r="I239" s="247"/>
      <c r="J239" s="247"/>
      <c r="K239" s="247"/>
      <c r="L239" s="247"/>
      <c r="M239" s="247"/>
      <c r="N239" s="247"/>
      <c r="O239" s="247"/>
      <c r="P239" s="247"/>
      <c r="Q239" s="247"/>
      <c r="R239" s="248" t="s">
        <v>1479</v>
      </c>
      <c r="S239" s="903"/>
      <c r="T239" s="919"/>
      <c r="U239" s="930"/>
    </row>
    <row r="240" spans="1:21" x14ac:dyDescent="0.3">
      <c r="A240" s="922" t="s">
        <v>1480</v>
      </c>
      <c r="B240" s="923" t="s">
        <v>1481</v>
      </c>
      <c r="C240" s="261">
        <v>0</v>
      </c>
      <c r="D240" s="261">
        <v>0.12</v>
      </c>
      <c r="E240" s="899">
        <v>0.36</v>
      </c>
      <c r="F240" s="901">
        <f>E238*4*1000</f>
        <v>3240</v>
      </c>
      <c r="G240" s="901" t="s">
        <v>32</v>
      </c>
      <c r="H240" s="260"/>
      <c r="I240" s="260"/>
      <c r="J240" s="260"/>
      <c r="K240" s="260"/>
      <c r="L240" s="260"/>
      <c r="M240" s="260"/>
      <c r="N240" s="260"/>
      <c r="O240" s="260"/>
      <c r="P240" s="260"/>
      <c r="Q240" s="260"/>
      <c r="R240" s="261" t="s">
        <v>1482</v>
      </c>
      <c r="S240" s="901"/>
      <c r="T240" s="928" t="s">
        <v>252</v>
      </c>
      <c r="U240" s="929"/>
    </row>
    <row r="241" spans="1:21" ht="67.5" customHeight="1" thickBot="1" x14ac:dyDescent="0.35">
      <c r="A241" s="907"/>
      <c r="B241" s="924"/>
      <c r="C241" s="248">
        <v>0.12</v>
      </c>
      <c r="D241" s="248">
        <v>0.36</v>
      </c>
      <c r="E241" s="935"/>
      <c r="F241" s="903"/>
      <c r="G241" s="903"/>
      <c r="H241" s="247"/>
      <c r="I241" s="247"/>
      <c r="J241" s="247"/>
      <c r="K241" s="247"/>
      <c r="L241" s="247"/>
      <c r="M241" s="247"/>
      <c r="N241" s="247"/>
      <c r="O241" s="247"/>
      <c r="P241" s="247"/>
      <c r="Q241" s="247"/>
      <c r="R241" s="248" t="s">
        <v>1483</v>
      </c>
      <c r="S241" s="903"/>
      <c r="T241" s="919"/>
      <c r="U241" s="930"/>
    </row>
    <row r="242" spans="1:21" ht="48.6" thickBot="1" x14ac:dyDescent="0.35">
      <c r="A242" s="249" t="s">
        <v>1484</v>
      </c>
      <c r="B242" s="264" t="s">
        <v>1485</v>
      </c>
      <c r="C242" s="263">
        <v>0</v>
      </c>
      <c r="D242" s="263">
        <v>1.1200000000000001</v>
      </c>
      <c r="E242" s="263">
        <v>1.1200000000000001</v>
      </c>
      <c r="F242" s="65">
        <f>D242*6*1000</f>
        <v>6720.0000000000009</v>
      </c>
      <c r="G242" s="65" t="s">
        <v>32</v>
      </c>
      <c r="H242" s="252"/>
      <c r="I242" s="252"/>
      <c r="J242" s="252"/>
      <c r="K242" s="252"/>
      <c r="L242" s="252"/>
      <c r="M242" s="252"/>
      <c r="N242" s="252"/>
      <c r="O242" s="252"/>
      <c r="P242" s="252"/>
      <c r="Q242" s="252"/>
      <c r="R242" s="254" t="s">
        <v>1486</v>
      </c>
      <c r="S242" s="255"/>
      <c r="T242" s="256" t="s">
        <v>252</v>
      </c>
      <c r="U242" s="258"/>
    </row>
    <row r="243" spans="1:21" x14ac:dyDescent="0.3">
      <c r="A243" s="922" t="s">
        <v>1487</v>
      </c>
      <c r="B243" s="932" t="s">
        <v>1488</v>
      </c>
      <c r="C243" s="265">
        <v>0</v>
      </c>
      <c r="D243" s="265">
        <v>0.27</v>
      </c>
      <c r="E243" s="899">
        <v>1</v>
      </c>
      <c r="F243" s="901">
        <f>E243*5*1000</f>
        <v>5000</v>
      </c>
      <c r="G243" s="901" t="s">
        <v>32</v>
      </c>
      <c r="H243" s="260"/>
      <c r="I243" s="260"/>
      <c r="J243" s="260"/>
      <c r="K243" s="260"/>
      <c r="L243" s="260"/>
      <c r="M243" s="260"/>
      <c r="N243" s="260"/>
      <c r="O243" s="260"/>
      <c r="P243" s="260"/>
      <c r="Q243" s="260"/>
      <c r="R243" s="261" t="s">
        <v>1402</v>
      </c>
      <c r="S243" s="927"/>
      <c r="T243" s="928" t="s">
        <v>252</v>
      </c>
      <c r="U243" s="943"/>
    </row>
    <row r="244" spans="1:21" x14ac:dyDescent="0.3">
      <c r="A244" s="931"/>
      <c r="B244" s="933"/>
      <c r="C244" s="944">
        <v>0.27</v>
      </c>
      <c r="D244" s="944">
        <v>0.49</v>
      </c>
      <c r="E244" s="900"/>
      <c r="F244" s="902"/>
      <c r="G244" s="902"/>
      <c r="H244" s="268"/>
      <c r="I244" s="268"/>
      <c r="J244" s="268"/>
      <c r="K244" s="268"/>
      <c r="L244" s="268"/>
      <c r="M244" s="268"/>
      <c r="N244" s="268"/>
      <c r="O244" s="268"/>
      <c r="P244" s="268"/>
      <c r="Q244" s="268"/>
      <c r="R244" s="266" t="s">
        <v>1489</v>
      </c>
      <c r="S244" s="947"/>
      <c r="T244" s="936"/>
      <c r="U244" s="946"/>
    </row>
    <row r="245" spans="1:21" x14ac:dyDescent="0.3">
      <c r="A245" s="931"/>
      <c r="B245" s="933"/>
      <c r="C245" s="944"/>
      <c r="D245" s="944"/>
      <c r="E245" s="900"/>
      <c r="F245" s="902"/>
      <c r="G245" s="902"/>
      <c r="H245" s="268"/>
      <c r="I245" s="268"/>
      <c r="J245" s="268"/>
      <c r="K245" s="268"/>
      <c r="L245" s="268"/>
      <c r="M245" s="268"/>
      <c r="N245" s="268"/>
      <c r="O245" s="268"/>
      <c r="P245" s="268"/>
      <c r="Q245" s="268"/>
      <c r="R245" s="266" t="s">
        <v>1490</v>
      </c>
      <c r="S245" s="947"/>
      <c r="T245" s="936"/>
      <c r="U245" s="946"/>
    </row>
    <row r="246" spans="1:21" x14ac:dyDescent="0.3">
      <c r="A246" s="931"/>
      <c r="B246" s="933"/>
      <c r="C246" s="267">
        <v>0.49</v>
      </c>
      <c r="D246" s="267">
        <v>0.7</v>
      </c>
      <c r="E246" s="900"/>
      <c r="F246" s="902"/>
      <c r="G246" s="902"/>
      <c r="H246" s="268"/>
      <c r="I246" s="268"/>
      <c r="J246" s="268"/>
      <c r="K246" s="268"/>
      <c r="L246" s="268"/>
      <c r="M246" s="268"/>
      <c r="N246" s="268"/>
      <c r="O246" s="268"/>
      <c r="P246" s="268"/>
      <c r="Q246" s="268"/>
      <c r="R246" s="266" t="s">
        <v>1489</v>
      </c>
      <c r="S246" s="947"/>
      <c r="T246" s="936"/>
      <c r="U246" s="946"/>
    </row>
    <row r="247" spans="1:21" ht="15" thickBot="1" x14ac:dyDescent="0.35">
      <c r="A247" s="907"/>
      <c r="B247" s="934"/>
      <c r="C247" s="269">
        <v>0.7</v>
      </c>
      <c r="D247" s="269">
        <v>1</v>
      </c>
      <c r="E247" s="935"/>
      <c r="F247" s="903"/>
      <c r="G247" s="903"/>
      <c r="H247" s="247"/>
      <c r="I247" s="247"/>
      <c r="J247" s="247"/>
      <c r="K247" s="247"/>
      <c r="L247" s="247"/>
      <c r="M247" s="247"/>
      <c r="N247" s="247"/>
      <c r="O247" s="247"/>
      <c r="P247" s="247"/>
      <c r="Q247" s="247"/>
      <c r="R247" s="248" t="s">
        <v>1491</v>
      </c>
      <c r="S247" s="917"/>
      <c r="T247" s="919"/>
      <c r="U247" s="921"/>
    </row>
    <row r="248" spans="1:21" x14ac:dyDescent="0.3">
      <c r="A248" s="922" t="s">
        <v>1492</v>
      </c>
      <c r="B248" s="932" t="s">
        <v>1493</v>
      </c>
      <c r="C248" s="265">
        <v>0</v>
      </c>
      <c r="D248" s="265">
        <v>0.03</v>
      </c>
      <c r="E248" s="899">
        <v>0.6</v>
      </c>
      <c r="F248" s="901">
        <f>E248*5*1000</f>
        <v>3000</v>
      </c>
      <c r="G248" s="901" t="s">
        <v>32</v>
      </c>
      <c r="H248" s="260"/>
      <c r="I248" s="260"/>
      <c r="J248" s="260"/>
      <c r="K248" s="260"/>
      <c r="L248" s="260"/>
      <c r="M248" s="260"/>
      <c r="N248" s="260"/>
      <c r="O248" s="260"/>
      <c r="P248" s="260"/>
      <c r="Q248" s="260"/>
      <c r="R248" s="899" t="s">
        <v>1491</v>
      </c>
      <c r="S248" s="927"/>
      <c r="T248" s="928" t="s">
        <v>252</v>
      </c>
      <c r="U248" s="943"/>
    </row>
    <row r="249" spans="1:21" x14ac:dyDescent="0.3">
      <c r="A249" s="931"/>
      <c r="B249" s="933"/>
      <c r="C249" s="267">
        <v>0.03</v>
      </c>
      <c r="D249" s="267">
        <v>0.25</v>
      </c>
      <c r="E249" s="900"/>
      <c r="F249" s="902"/>
      <c r="G249" s="902"/>
      <c r="H249" s="268"/>
      <c r="I249" s="268"/>
      <c r="J249" s="268"/>
      <c r="K249" s="268"/>
      <c r="L249" s="268"/>
      <c r="M249" s="268"/>
      <c r="N249" s="268"/>
      <c r="O249" s="268"/>
      <c r="P249" s="268"/>
      <c r="Q249" s="268"/>
      <c r="R249" s="900"/>
      <c r="S249" s="947"/>
      <c r="T249" s="936"/>
      <c r="U249" s="946"/>
    </row>
    <row r="250" spans="1:21" x14ac:dyDescent="0.3">
      <c r="A250" s="931"/>
      <c r="B250" s="933"/>
      <c r="C250" s="940">
        <v>0.25</v>
      </c>
      <c r="D250" s="940">
        <v>0.6</v>
      </c>
      <c r="E250" s="900"/>
      <c r="F250" s="902"/>
      <c r="G250" s="902"/>
      <c r="H250" s="268"/>
      <c r="I250" s="268"/>
      <c r="J250" s="268"/>
      <c r="K250" s="268"/>
      <c r="L250" s="268"/>
      <c r="M250" s="268"/>
      <c r="N250" s="268"/>
      <c r="O250" s="268"/>
      <c r="P250" s="268"/>
      <c r="Q250" s="268"/>
      <c r="R250" s="266" t="s">
        <v>1489</v>
      </c>
      <c r="S250" s="947"/>
      <c r="T250" s="936"/>
      <c r="U250" s="946"/>
    </row>
    <row r="251" spans="1:21" ht="40.5" customHeight="1" thickBot="1" x14ac:dyDescent="0.35">
      <c r="A251" s="907"/>
      <c r="B251" s="934"/>
      <c r="C251" s="939"/>
      <c r="D251" s="939"/>
      <c r="E251" s="935"/>
      <c r="F251" s="903"/>
      <c r="G251" s="903"/>
      <c r="H251" s="247"/>
      <c r="I251" s="247"/>
      <c r="J251" s="247"/>
      <c r="K251" s="247"/>
      <c r="L251" s="247"/>
      <c r="M251" s="247"/>
      <c r="N251" s="247"/>
      <c r="O251" s="247"/>
      <c r="P251" s="247"/>
      <c r="Q251" s="247"/>
      <c r="R251" s="248" t="s">
        <v>1494</v>
      </c>
      <c r="S251" s="917"/>
      <c r="T251" s="919"/>
      <c r="U251" s="921"/>
    </row>
    <row r="252" spans="1:21" x14ac:dyDescent="0.3">
      <c r="A252" s="922" t="s">
        <v>1495</v>
      </c>
      <c r="B252" s="923" t="s">
        <v>1496</v>
      </c>
      <c r="C252" s="265">
        <v>0</v>
      </c>
      <c r="D252" s="270">
        <v>0.26</v>
      </c>
      <c r="E252" s="941">
        <v>1.1399999999999999</v>
      </c>
      <c r="F252" s="941">
        <f>E252*5*1000</f>
        <v>5699.9999999999991</v>
      </c>
      <c r="G252" s="941" t="s">
        <v>32</v>
      </c>
      <c r="H252" s="260"/>
      <c r="I252" s="260"/>
      <c r="J252" s="260"/>
      <c r="K252" s="260"/>
      <c r="L252" s="260"/>
      <c r="M252" s="260"/>
      <c r="N252" s="260"/>
      <c r="O252" s="260"/>
      <c r="P252" s="260"/>
      <c r="Q252" s="260"/>
      <c r="R252" s="261" t="s">
        <v>1497</v>
      </c>
      <c r="S252" s="901"/>
      <c r="T252" s="928" t="s">
        <v>252</v>
      </c>
      <c r="U252" s="929"/>
    </row>
    <row r="253" spans="1:21" x14ac:dyDescent="0.3">
      <c r="A253" s="931"/>
      <c r="B253" s="945"/>
      <c r="C253" s="273">
        <v>0.26</v>
      </c>
      <c r="D253" s="273">
        <v>0.83</v>
      </c>
      <c r="E253" s="944"/>
      <c r="F253" s="944"/>
      <c r="G253" s="944"/>
      <c r="H253" s="268"/>
      <c r="I253" s="268"/>
      <c r="J253" s="268"/>
      <c r="K253" s="268"/>
      <c r="L253" s="268"/>
      <c r="M253" s="268"/>
      <c r="N253" s="268"/>
      <c r="O253" s="268"/>
      <c r="P253" s="268"/>
      <c r="Q253" s="268"/>
      <c r="R253" s="266" t="s">
        <v>1498</v>
      </c>
      <c r="S253" s="902"/>
      <c r="T253" s="936"/>
      <c r="U253" s="937"/>
    </row>
    <row r="254" spans="1:21" x14ac:dyDescent="0.3">
      <c r="A254" s="931"/>
      <c r="B254" s="945"/>
      <c r="C254" s="944">
        <v>0.83</v>
      </c>
      <c r="D254" s="944">
        <v>1.1399999999999999</v>
      </c>
      <c r="E254" s="944"/>
      <c r="F254" s="944"/>
      <c r="G254" s="944"/>
      <c r="H254" s="268"/>
      <c r="I254" s="268"/>
      <c r="J254" s="268"/>
      <c r="K254" s="268"/>
      <c r="L254" s="268"/>
      <c r="M254" s="268"/>
      <c r="N254" s="268"/>
      <c r="O254" s="268"/>
      <c r="P254" s="268"/>
      <c r="Q254" s="268"/>
      <c r="R254" s="266" t="s">
        <v>1499</v>
      </c>
      <c r="S254" s="902"/>
      <c r="T254" s="936"/>
      <c r="U254" s="937"/>
    </row>
    <row r="255" spans="1:21" ht="39" customHeight="1" thickBot="1" x14ac:dyDescent="0.35">
      <c r="A255" s="907"/>
      <c r="B255" s="924"/>
      <c r="C255" s="942"/>
      <c r="D255" s="942"/>
      <c r="E255" s="942"/>
      <c r="F255" s="942"/>
      <c r="G255" s="942"/>
      <c r="H255" s="247"/>
      <c r="I255" s="247"/>
      <c r="J255" s="247"/>
      <c r="K255" s="247"/>
      <c r="L255" s="247"/>
      <c r="M255" s="247"/>
      <c r="N255" s="247"/>
      <c r="O255" s="247"/>
      <c r="P255" s="247"/>
      <c r="Q255" s="247"/>
      <c r="R255" s="248" t="s">
        <v>1500</v>
      </c>
      <c r="S255" s="903"/>
      <c r="T255" s="919"/>
      <c r="U255" s="930"/>
    </row>
    <row r="256" spans="1:21" x14ac:dyDescent="0.3">
      <c r="B256" s="294"/>
      <c r="C256" s="295"/>
      <c r="D256" s="295"/>
      <c r="E256" s="296"/>
      <c r="F256" s="297"/>
      <c r="G256" s="297"/>
      <c r="T256" s="299"/>
    </row>
    <row r="257" spans="1:32" ht="24" x14ac:dyDescent="0.25">
      <c r="B257" s="61" t="s">
        <v>202</v>
      </c>
      <c r="C257" s="301"/>
      <c r="D257" s="301"/>
      <c r="E257" s="301"/>
      <c r="F257" s="301"/>
      <c r="T257" s="299"/>
    </row>
    <row r="258" spans="1:32" ht="15.6" x14ac:dyDescent="0.25">
      <c r="B258" s="61" t="s">
        <v>203</v>
      </c>
      <c r="C258" s="302"/>
      <c r="D258" s="302"/>
      <c r="E258" s="302"/>
      <c r="F258" s="302"/>
      <c r="G258" s="302"/>
      <c r="H258" s="303"/>
      <c r="I258" s="303"/>
      <c r="J258" s="303"/>
    </row>
    <row r="259" spans="1:32" ht="15.6" x14ac:dyDescent="0.25">
      <c r="B259" s="61" t="s">
        <v>204</v>
      </c>
      <c r="C259" s="302"/>
      <c r="D259" s="302"/>
      <c r="E259" s="302"/>
      <c r="F259" s="302"/>
      <c r="G259" s="302"/>
      <c r="H259" s="303"/>
      <c r="I259" s="303"/>
      <c r="J259" s="303"/>
    </row>
    <row r="260" spans="1:32" ht="24" x14ac:dyDescent="0.25">
      <c r="B260" s="61" t="s">
        <v>205</v>
      </c>
      <c r="C260" s="302"/>
      <c r="D260" s="302"/>
      <c r="E260" s="302"/>
      <c r="F260" s="302"/>
      <c r="G260" s="302"/>
      <c r="H260" s="303"/>
      <c r="I260" s="303"/>
      <c r="J260" s="303"/>
    </row>
    <row r="261" spans="1:32" ht="15.6" customHeight="1" x14ac:dyDescent="0.25">
      <c r="B261" s="75"/>
      <c r="C261" s="302"/>
      <c r="D261" s="302"/>
      <c r="E261" s="302"/>
      <c r="F261" s="302"/>
      <c r="G261" s="302"/>
      <c r="H261" s="303"/>
      <c r="I261" s="303"/>
      <c r="J261" s="303"/>
    </row>
    <row r="262" spans="1:32" s="59" customFormat="1" ht="27.6" customHeight="1" x14ac:dyDescent="0.25">
      <c r="A262" s="509"/>
      <c r="B262" s="509"/>
      <c r="C262" s="512" t="s">
        <v>3985</v>
      </c>
      <c r="D262" s="543" t="s">
        <v>3986</v>
      </c>
      <c r="E262" s="543"/>
      <c r="F262" s="543"/>
      <c r="G262" s="509"/>
      <c r="H262" s="509"/>
      <c r="I262" s="509"/>
      <c r="J262" s="509"/>
      <c r="K262" s="509"/>
      <c r="L262" s="509"/>
      <c r="M262" s="509"/>
      <c r="N262" s="509"/>
      <c r="O262" s="509"/>
      <c r="P262" s="509"/>
      <c r="Q262" s="509"/>
      <c r="R262" s="509"/>
      <c r="S262" s="509"/>
      <c r="T262" s="509"/>
      <c r="U262" s="509"/>
      <c r="V262" s="509"/>
      <c r="W262" s="509"/>
      <c r="X262" s="509"/>
      <c r="Y262" s="509"/>
      <c r="Z262" s="509"/>
      <c r="AA262" s="509"/>
      <c r="AB262" s="509"/>
      <c r="AC262" s="509"/>
      <c r="AD262" s="509"/>
      <c r="AE262" s="510"/>
      <c r="AF262" s="510"/>
    </row>
    <row r="263" spans="1:32" s="59" customFormat="1" ht="13.8" x14ac:dyDescent="0.25">
      <c r="A263" s="509"/>
      <c r="B263" s="509"/>
      <c r="C263" s="509"/>
      <c r="D263" s="509"/>
      <c r="E263" s="509"/>
      <c r="F263" s="509"/>
      <c r="G263" s="509"/>
      <c r="H263" s="509"/>
      <c r="I263" s="509"/>
      <c r="J263" s="509"/>
      <c r="K263" s="509"/>
      <c r="L263" s="509"/>
      <c r="M263" s="509"/>
      <c r="N263" s="509"/>
      <c r="O263" s="509"/>
      <c r="P263" s="509"/>
      <c r="Q263" s="509"/>
      <c r="R263" s="509"/>
      <c r="S263" s="509"/>
      <c r="T263" s="509"/>
      <c r="U263" s="509"/>
      <c r="V263" s="509"/>
      <c r="W263" s="509"/>
      <c r="X263" s="509"/>
      <c r="Y263" s="509"/>
      <c r="Z263" s="509"/>
      <c r="AA263" s="509"/>
      <c r="AB263" s="509"/>
      <c r="AC263" s="509"/>
      <c r="AD263" s="509"/>
      <c r="AE263" s="510"/>
      <c r="AF263" s="510"/>
    </row>
    <row r="264" spans="1:32" s="59" customFormat="1" ht="13.8" x14ac:dyDescent="0.25">
      <c r="A264" s="509"/>
      <c r="B264" s="509"/>
      <c r="C264" s="509"/>
      <c r="D264" s="509"/>
      <c r="E264" s="509"/>
      <c r="F264" s="509"/>
      <c r="G264" s="509"/>
      <c r="H264" s="509"/>
      <c r="I264" s="509"/>
      <c r="J264" s="509"/>
      <c r="K264" s="509"/>
      <c r="L264" s="509"/>
      <c r="M264" s="509"/>
      <c r="N264" s="509"/>
      <c r="O264" s="509"/>
      <c r="P264" s="509"/>
      <c r="Q264" s="509"/>
      <c r="R264" s="509"/>
      <c r="S264" s="509"/>
      <c r="T264" s="509"/>
      <c r="U264" s="509"/>
      <c r="V264" s="509"/>
      <c r="W264" s="509"/>
      <c r="X264" s="509"/>
      <c r="Y264" s="509"/>
      <c r="Z264" s="509"/>
      <c r="AA264" s="509"/>
      <c r="AB264" s="509"/>
      <c r="AC264" s="509"/>
      <c r="AD264" s="509"/>
      <c r="AE264" s="417"/>
      <c r="AF264" s="510"/>
    </row>
    <row r="265" spans="1:32" s="59" customFormat="1" ht="13.8" x14ac:dyDescent="0.25">
      <c r="B265" s="60"/>
      <c r="C265" s="438" t="s">
        <v>3989</v>
      </c>
      <c r="D265" s="544" t="s">
        <v>3990</v>
      </c>
      <c r="E265" s="544"/>
      <c r="F265" s="544"/>
      <c r="G265" s="544"/>
      <c r="H265" s="544"/>
      <c r="I265" s="544"/>
      <c r="T265" s="60"/>
      <c r="U265" s="60"/>
    </row>
    <row r="266" spans="1:32" s="59" customFormat="1" ht="13.95" customHeight="1" x14ac:dyDescent="0.25">
      <c r="B266" s="60"/>
      <c r="C266" s="438" t="s">
        <v>3987</v>
      </c>
      <c r="D266" s="553" t="s">
        <v>3988</v>
      </c>
      <c r="E266" s="553"/>
      <c r="F266" s="553"/>
      <c r="G266" s="553"/>
      <c r="H266" s="553"/>
      <c r="I266" s="553"/>
      <c r="T266" s="60"/>
      <c r="U266" s="60"/>
    </row>
    <row r="267" spans="1:32" s="59" customFormat="1" ht="14.4" customHeight="1" x14ac:dyDescent="0.25">
      <c r="T267" s="60"/>
      <c r="U267" s="60"/>
    </row>
    <row r="268" spans="1:32" s="59" customFormat="1" ht="13.8" x14ac:dyDescent="0.25">
      <c r="A268" s="469"/>
      <c r="B268" s="743" t="s">
        <v>3984</v>
      </c>
      <c r="C268" s="743"/>
      <c r="D268" s="743"/>
      <c r="E268" s="743"/>
      <c r="F268" s="743"/>
      <c r="G268" s="743"/>
      <c r="H268" s="743"/>
      <c r="I268" s="743"/>
      <c r="T268" s="304"/>
      <c r="U268" s="304"/>
    </row>
  </sheetData>
  <mergeCells count="609">
    <mergeCell ref="A252:A255"/>
    <mergeCell ref="B252:B255"/>
    <mergeCell ref="E252:E255"/>
    <mergeCell ref="F252:F255"/>
    <mergeCell ref="G252:G255"/>
    <mergeCell ref="S252:S255"/>
    <mergeCell ref="C250:C251"/>
    <mergeCell ref="D250:D251"/>
    <mergeCell ref="C244:C245"/>
    <mergeCell ref="D244:D245"/>
    <mergeCell ref="T252:T255"/>
    <mergeCell ref="D262:F262"/>
    <mergeCell ref="U252:U255"/>
    <mergeCell ref="C254:C255"/>
    <mergeCell ref="D254:D255"/>
    <mergeCell ref="E240:E241"/>
    <mergeCell ref="F240:F241"/>
    <mergeCell ref="G240:G241"/>
    <mergeCell ref="S240:S241"/>
    <mergeCell ref="G248:G251"/>
    <mergeCell ref="R248:R249"/>
    <mergeCell ref="S248:S251"/>
    <mergeCell ref="T248:T251"/>
    <mergeCell ref="U248:U251"/>
    <mergeCell ref="A238:A239"/>
    <mergeCell ref="B238:B239"/>
    <mergeCell ref="E238:E239"/>
    <mergeCell ref="F238:F239"/>
    <mergeCell ref="G238:G239"/>
    <mergeCell ref="S238:S239"/>
    <mergeCell ref="T238:T239"/>
    <mergeCell ref="U238:U239"/>
    <mergeCell ref="A248:A251"/>
    <mergeCell ref="B248:B251"/>
    <mergeCell ref="E248:E251"/>
    <mergeCell ref="F248:F251"/>
    <mergeCell ref="T240:T241"/>
    <mergeCell ref="U240:U241"/>
    <mergeCell ref="A243:A247"/>
    <mergeCell ref="B243:B247"/>
    <mergeCell ref="E243:E247"/>
    <mergeCell ref="F243:F247"/>
    <mergeCell ref="G243:G247"/>
    <mergeCell ref="S243:S247"/>
    <mergeCell ref="T243:T247"/>
    <mergeCell ref="U243:U247"/>
    <mergeCell ref="A240:A241"/>
    <mergeCell ref="B240:B241"/>
    <mergeCell ref="U229:U234"/>
    <mergeCell ref="A235:A237"/>
    <mergeCell ref="B235:B237"/>
    <mergeCell ref="C235:C237"/>
    <mergeCell ref="D235:D237"/>
    <mergeCell ref="E235:E237"/>
    <mergeCell ref="F235:F237"/>
    <mergeCell ref="G235:G237"/>
    <mergeCell ref="S235:S237"/>
    <mergeCell ref="T235:T237"/>
    <mergeCell ref="U235:U237"/>
    <mergeCell ref="A229:A234"/>
    <mergeCell ref="B229:B234"/>
    <mergeCell ref="C229:C233"/>
    <mergeCell ref="D229:D233"/>
    <mergeCell ref="E229:E234"/>
    <mergeCell ref="F229:F234"/>
    <mergeCell ref="G229:G234"/>
    <mergeCell ref="S229:S234"/>
    <mergeCell ref="T229:T234"/>
    <mergeCell ref="A225:A226"/>
    <mergeCell ref="B225:B226"/>
    <mergeCell ref="E225:E226"/>
    <mergeCell ref="F225:F226"/>
    <mergeCell ref="G225:G226"/>
    <mergeCell ref="S225:S226"/>
    <mergeCell ref="T225:T226"/>
    <mergeCell ref="U225:U226"/>
    <mergeCell ref="A227:A228"/>
    <mergeCell ref="B227:B228"/>
    <mergeCell ref="C227:C228"/>
    <mergeCell ref="D227:D228"/>
    <mergeCell ref="E227:E228"/>
    <mergeCell ref="F227:F228"/>
    <mergeCell ref="G227:G228"/>
    <mergeCell ref="S227:S228"/>
    <mergeCell ref="T227:T228"/>
    <mergeCell ref="U227:U228"/>
    <mergeCell ref="T216:T219"/>
    <mergeCell ref="U216:U219"/>
    <mergeCell ref="C217:C219"/>
    <mergeCell ref="D217:D219"/>
    <mergeCell ref="A220:A224"/>
    <mergeCell ref="B220:B224"/>
    <mergeCell ref="C220:C224"/>
    <mergeCell ref="D220:D224"/>
    <mergeCell ref="E220:E224"/>
    <mergeCell ref="F220:F224"/>
    <mergeCell ref="A216:A219"/>
    <mergeCell ref="B216:B219"/>
    <mergeCell ref="E216:E219"/>
    <mergeCell ref="F216:F219"/>
    <mergeCell ref="G216:G219"/>
    <mergeCell ref="S216:S219"/>
    <mergeCell ref="G220:G224"/>
    <mergeCell ref="S220:S224"/>
    <mergeCell ref="T220:T224"/>
    <mergeCell ref="U220:U224"/>
    <mergeCell ref="G211:G215"/>
    <mergeCell ref="S211:S215"/>
    <mergeCell ref="T211:T215"/>
    <mergeCell ref="U211:U215"/>
    <mergeCell ref="C213:C215"/>
    <mergeCell ref="D213:D215"/>
    <mergeCell ref="T208:T210"/>
    <mergeCell ref="U208:U210"/>
    <mergeCell ref="C209:C210"/>
    <mergeCell ref="D209:D210"/>
    <mergeCell ref="G208:G210"/>
    <mergeCell ref="S208:S210"/>
    <mergeCell ref="A211:A215"/>
    <mergeCell ref="B211:B215"/>
    <mergeCell ref="C211:C212"/>
    <mergeCell ref="D211:D212"/>
    <mergeCell ref="E211:E215"/>
    <mergeCell ref="F211:F215"/>
    <mergeCell ref="A208:A210"/>
    <mergeCell ref="B208:B210"/>
    <mergeCell ref="E208:E210"/>
    <mergeCell ref="F208:F210"/>
    <mergeCell ref="T202:T203"/>
    <mergeCell ref="U202:U203"/>
    <mergeCell ref="A204:A206"/>
    <mergeCell ref="B204:B206"/>
    <mergeCell ref="E204:E206"/>
    <mergeCell ref="F204:F206"/>
    <mergeCell ref="G204:G206"/>
    <mergeCell ref="S204:S206"/>
    <mergeCell ref="T204:T206"/>
    <mergeCell ref="U204:U206"/>
    <mergeCell ref="A202:A203"/>
    <mergeCell ref="B202:B203"/>
    <mergeCell ref="E202:E203"/>
    <mergeCell ref="F202:F203"/>
    <mergeCell ref="G202:G203"/>
    <mergeCell ref="S202:S203"/>
    <mergeCell ref="C179:C180"/>
    <mergeCell ref="D179:D180"/>
    <mergeCell ref="T195:T201"/>
    <mergeCell ref="U195:U201"/>
    <mergeCell ref="C197:C198"/>
    <mergeCell ref="D197:D198"/>
    <mergeCell ref="C200:C201"/>
    <mergeCell ref="D200:D201"/>
    <mergeCell ref="A195:A201"/>
    <mergeCell ref="B195:B201"/>
    <mergeCell ref="E195:E201"/>
    <mergeCell ref="F195:F201"/>
    <mergeCell ref="G195:G201"/>
    <mergeCell ref="S195:S201"/>
    <mergeCell ref="T166:T171"/>
    <mergeCell ref="U166:U171"/>
    <mergeCell ref="A184:A193"/>
    <mergeCell ref="B184:B193"/>
    <mergeCell ref="E184:E193"/>
    <mergeCell ref="F184:F193"/>
    <mergeCell ref="G184:G193"/>
    <mergeCell ref="S184:S193"/>
    <mergeCell ref="A178:A183"/>
    <mergeCell ref="B178:B183"/>
    <mergeCell ref="E178:E183"/>
    <mergeCell ref="F178:F183"/>
    <mergeCell ref="G178:G183"/>
    <mergeCell ref="S178:S183"/>
    <mergeCell ref="T184:T193"/>
    <mergeCell ref="U184:U193"/>
    <mergeCell ref="C187:C188"/>
    <mergeCell ref="D187:D188"/>
    <mergeCell ref="C190:C191"/>
    <mergeCell ref="D190:D191"/>
    <mergeCell ref="C192:C193"/>
    <mergeCell ref="D192:D193"/>
    <mergeCell ref="T178:T183"/>
    <mergeCell ref="U178:U183"/>
    <mergeCell ref="A172:A177"/>
    <mergeCell ref="B172:B177"/>
    <mergeCell ref="E172:E177"/>
    <mergeCell ref="F172:F177"/>
    <mergeCell ref="G172:G177"/>
    <mergeCell ref="S172:S177"/>
    <mergeCell ref="T160:T165"/>
    <mergeCell ref="U160:U165"/>
    <mergeCell ref="C164:C165"/>
    <mergeCell ref="D164:D165"/>
    <mergeCell ref="A166:A171"/>
    <mergeCell ref="B166:B171"/>
    <mergeCell ref="C166:C171"/>
    <mergeCell ref="D166:D171"/>
    <mergeCell ref="E166:E171"/>
    <mergeCell ref="F166:F171"/>
    <mergeCell ref="T172:T177"/>
    <mergeCell ref="U172:U177"/>
    <mergeCell ref="C173:C174"/>
    <mergeCell ref="D173:D174"/>
    <mergeCell ref="C175:C177"/>
    <mergeCell ref="D175:D177"/>
    <mergeCell ref="G166:G171"/>
    <mergeCell ref="S166:S171"/>
    <mergeCell ref="A160:A165"/>
    <mergeCell ref="B160:B165"/>
    <mergeCell ref="E160:E165"/>
    <mergeCell ref="F160:F165"/>
    <mergeCell ref="G160:G165"/>
    <mergeCell ref="S160:S165"/>
    <mergeCell ref="A153:A157"/>
    <mergeCell ref="B153:B157"/>
    <mergeCell ref="C153:C155"/>
    <mergeCell ref="D153:D155"/>
    <mergeCell ref="E153:E157"/>
    <mergeCell ref="F153:F157"/>
    <mergeCell ref="U144:U152"/>
    <mergeCell ref="C146:C149"/>
    <mergeCell ref="D146:D149"/>
    <mergeCell ref="C150:C151"/>
    <mergeCell ref="D150:D151"/>
    <mergeCell ref="G153:G157"/>
    <mergeCell ref="S153:S157"/>
    <mergeCell ref="T153:T157"/>
    <mergeCell ref="U153:U157"/>
    <mergeCell ref="A144:A152"/>
    <mergeCell ref="B144:B152"/>
    <mergeCell ref="C144:C145"/>
    <mergeCell ref="D144:D145"/>
    <mergeCell ref="E144:E152"/>
    <mergeCell ref="F144:F152"/>
    <mergeCell ref="G144:G152"/>
    <mergeCell ref="S144:S152"/>
    <mergeCell ref="T144:T152"/>
    <mergeCell ref="A139:A143"/>
    <mergeCell ref="B139:B143"/>
    <mergeCell ref="E139:E143"/>
    <mergeCell ref="S139:S143"/>
    <mergeCell ref="T139:T143"/>
    <mergeCell ref="T129:T138"/>
    <mergeCell ref="U129:U138"/>
    <mergeCell ref="C130:C131"/>
    <mergeCell ref="D130:D131"/>
    <mergeCell ref="H130:H131"/>
    <mergeCell ref="I130:I131"/>
    <mergeCell ref="K130:K131"/>
    <mergeCell ref="L130:L131"/>
    <mergeCell ref="O130:O131"/>
    <mergeCell ref="C137:C138"/>
    <mergeCell ref="U139:U143"/>
    <mergeCell ref="F140:F143"/>
    <mergeCell ref="G140:G143"/>
    <mergeCell ref="C141:C142"/>
    <mergeCell ref="D141:D142"/>
    <mergeCell ref="G126:G128"/>
    <mergeCell ref="S126:S128"/>
    <mergeCell ref="T126:T128"/>
    <mergeCell ref="U126:U128"/>
    <mergeCell ref="A129:A138"/>
    <mergeCell ref="B129:B138"/>
    <mergeCell ref="E129:E138"/>
    <mergeCell ref="F129:F138"/>
    <mergeCell ref="G129:G138"/>
    <mergeCell ref="S129:S138"/>
    <mergeCell ref="A126:A128"/>
    <mergeCell ref="B126:B128"/>
    <mergeCell ref="C126:C128"/>
    <mergeCell ref="D126:D128"/>
    <mergeCell ref="E126:E128"/>
    <mergeCell ref="F126:F128"/>
    <mergeCell ref="D137:D138"/>
    <mergeCell ref="G115:G125"/>
    <mergeCell ref="S115:S125"/>
    <mergeCell ref="T115:T125"/>
    <mergeCell ref="U115:U125"/>
    <mergeCell ref="C119:C120"/>
    <mergeCell ref="D119:D120"/>
    <mergeCell ref="C122:C123"/>
    <mergeCell ref="D122:D123"/>
    <mergeCell ref="A115:A125"/>
    <mergeCell ref="B115:B125"/>
    <mergeCell ref="C115:C118"/>
    <mergeCell ref="D115:D118"/>
    <mergeCell ref="E115:E125"/>
    <mergeCell ref="F115:F125"/>
    <mergeCell ref="U106:U113"/>
    <mergeCell ref="C108:C109"/>
    <mergeCell ref="D108:D109"/>
    <mergeCell ref="C110:C111"/>
    <mergeCell ref="D110:D111"/>
    <mergeCell ref="C112:C113"/>
    <mergeCell ref="D112:D113"/>
    <mergeCell ref="S102:S105"/>
    <mergeCell ref="T102:T105"/>
    <mergeCell ref="U102:U105"/>
    <mergeCell ref="A106:A113"/>
    <mergeCell ref="B106:B113"/>
    <mergeCell ref="E106:E113"/>
    <mergeCell ref="F106:F113"/>
    <mergeCell ref="G106:G113"/>
    <mergeCell ref="S106:S113"/>
    <mergeCell ref="T106:T113"/>
    <mergeCell ref="Q95:Q96"/>
    <mergeCell ref="R95:R96"/>
    <mergeCell ref="S95:S96"/>
    <mergeCell ref="T95:T96"/>
    <mergeCell ref="U95:U96"/>
    <mergeCell ref="A102:A105"/>
    <mergeCell ref="B102:B105"/>
    <mergeCell ref="E102:E105"/>
    <mergeCell ref="F102:F105"/>
    <mergeCell ref="G102:G105"/>
    <mergeCell ref="K95:K96"/>
    <mergeCell ref="L95:L96"/>
    <mergeCell ref="M95:M96"/>
    <mergeCell ref="N95:N96"/>
    <mergeCell ref="O95:O96"/>
    <mergeCell ref="P95:P96"/>
    <mergeCell ref="A95:A96"/>
    <mergeCell ref="B95:B96"/>
    <mergeCell ref="E95:E96"/>
    <mergeCell ref="H95:H96"/>
    <mergeCell ref="I95:I96"/>
    <mergeCell ref="J95:J96"/>
    <mergeCell ref="U88:U89"/>
    <mergeCell ref="T79:T80"/>
    <mergeCell ref="U79:U80"/>
    <mergeCell ref="A84:A87"/>
    <mergeCell ref="B84:B87"/>
    <mergeCell ref="E84:E87"/>
    <mergeCell ref="F84:F87"/>
    <mergeCell ref="G84:G87"/>
    <mergeCell ref="S84:S87"/>
    <mergeCell ref="T84:T87"/>
    <mergeCell ref="U84:U87"/>
    <mergeCell ref="A79:A80"/>
    <mergeCell ref="B79:B80"/>
    <mergeCell ref="E79:E80"/>
    <mergeCell ref="F79:F80"/>
    <mergeCell ref="G79:G80"/>
    <mergeCell ref="S79:S80"/>
    <mergeCell ref="C68:C69"/>
    <mergeCell ref="D68:D69"/>
    <mergeCell ref="C71:C72"/>
    <mergeCell ref="D71:D72"/>
    <mergeCell ref="A88:A89"/>
    <mergeCell ref="B88:B89"/>
    <mergeCell ref="E88:E89"/>
    <mergeCell ref="S88:S89"/>
    <mergeCell ref="T88:T89"/>
    <mergeCell ref="T56:T57"/>
    <mergeCell ref="A74:A78"/>
    <mergeCell ref="B74:B78"/>
    <mergeCell ref="E74:E78"/>
    <mergeCell ref="F74:F75"/>
    <mergeCell ref="G74:G75"/>
    <mergeCell ref="U58:U66"/>
    <mergeCell ref="C61:C66"/>
    <mergeCell ref="D61:D66"/>
    <mergeCell ref="A67:A72"/>
    <mergeCell ref="B67:B72"/>
    <mergeCell ref="E67:E72"/>
    <mergeCell ref="F67:F72"/>
    <mergeCell ref="G67:G72"/>
    <mergeCell ref="S67:S72"/>
    <mergeCell ref="T67:T72"/>
    <mergeCell ref="S74:S78"/>
    <mergeCell ref="T74:T78"/>
    <mergeCell ref="U74:U78"/>
    <mergeCell ref="C76:C77"/>
    <mergeCell ref="D76:D77"/>
    <mergeCell ref="F76:F77"/>
    <mergeCell ref="G76:G77"/>
    <mergeCell ref="U67:U72"/>
    <mergeCell ref="G45:G46"/>
    <mergeCell ref="H45:H46"/>
    <mergeCell ref="A58:A66"/>
    <mergeCell ref="B58:B66"/>
    <mergeCell ref="E58:E66"/>
    <mergeCell ref="F58:F66"/>
    <mergeCell ref="G58:G66"/>
    <mergeCell ref="S58:S66"/>
    <mergeCell ref="T58:T66"/>
    <mergeCell ref="M56:M57"/>
    <mergeCell ref="N56:N57"/>
    <mergeCell ref="O56:O57"/>
    <mergeCell ref="P56:P57"/>
    <mergeCell ref="Q56:Q57"/>
    <mergeCell ref="R56:R57"/>
    <mergeCell ref="E56:E57"/>
    <mergeCell ref="H56:H57"/>
    <mergeCell ref="I56:I57"/>
    <mergeCell ref="J56:J57"/>
    <mergeCell ref="K56:K57"/>
    <mergeCell ref="L56:L57"/>
    <mergeCell ref="A56:A57"/>
    <mergeCell ref="B56:B57"/>
    <mergeCell ref="S56:S57"/>
    <mergeCell ref="U56:U57"/>
    <mergeCell ref="A45:A46"/>
    <mergeCell ref="B45:B46"/>
    <mergeCell ref="C45:C46"/>
    <mergeCell ref="D45:D46"/>
    <mergeCell ref="E45:E46"/>
    <mergeCell ref="F45:F46"/>
    <mergeCell ref="C48:C50"/>
    <mergeCell ref="D48:D50"/>
    <mergeCell ref="C54:C55"/>
    <mergeCell ref="D54:D55"/>
    <mergeCell ref="T45:T46"/>
    <mergeCell ref="U45:U46"/>
    <mergeCell ref="A47:A55"/>
    <mergeCell ref="B47:B55"/>
    <mergeCell ref="E47:E55"/>
    <mergeCell ref="F47:F55"/>
    <mergeCell ref="G47:G55"/>
    <mergeCell ref="S47:S55"/>
    <mergeCell ref="T47:T55"/>
    <mergeCell ref="U47:U55"/>
    <mergeCell ref="M45:M46"/>
    <mergeCell ref="N45:N46"/>
    <mergeCell ref="O45:O46"/>
    <mergeCell ref="T43:T44"/>
    <mergeCell ref="U43:U44"/>
    <mergeCell ref="I43:I44"/>
    <mergeCell ref="J43:J44"/>
    <mergeCell ref="K43:K44"/>
    <mergeCell ref="L43:L44"/>
    <mergeCell ref="M43:M44"/>
    <mergeCell ref="N43:N44"/>
    <mergeCell ref="I45:I46"/>
    <mergeCell ref="J45:J46"/>
    <mergeCell ref="K45:K46"/>
    <mergeCell ref="L45:L46"/>
    <mergeCell ref="P45:P46"/>
    <mergeCell ref="Q45:Q46"/>
    <mergeCell ref="S45:S46"/>
    <mergeCell ref="A43:A44"/>
    <mergeCell ref="B43:B44"/>
    <mergeCell ref="E43:E44"/>
    <mergeCell ref="F43:F44"/>
    <mergeCell ref="G43:G44"/>
    <mergeCell ref="H43:H44"/>
    <mergeCell ref="Q40:Q41"/>
    <mergeCell ref="R40:R42"/>
    <mergeCell ref="S40:S42"/>
    <mergeCell ref="A40:A42"/>
    <mergeCell ref="B40:B42"/>
    <mergeCell ref="E40:E42"/>
    <mergeCell ref="O43:O44"/>
    <mergeCell ref="P43:P44"/>
    <mergeCell ref="Q43:Q44"/>
    <mergeCell ref="S43:S44"/>
    <mergeCell ref="T40:T42"/>
    <mergeCell ref="U40:U42"/>
    <mergeCell ref="F41:F42"/>
    <mergeCell ref="G41:G42"/>
    <mergeCell ref="K40:K41"/>
    <mergeCell ref="L40:L41"/>
    <mergeCell ref="M40:M41"/>
    <mergeCell ref="N40:N41"/>
    <mergeCell ref="O40:O41"/>
    <mergeCell ref="P40:P41"/>
    <mergeCell ref="H40:H41"/>
    <mergeCell ref="I40:I41"/>
    <mergeCell ref="J40:J41"/>
    <mergeCell ref="T38:T39"/>
    <mergeCell ref="U38:U39"/>
    <mergeCell ref="I38:I39"/>
    <mergeCell ref="J38:J39"/>
    <mergeCell ref="K38:K39"/>
    <mergeCell ref="L38:L39"/>
    <mergeCell ref="M38:M39"/>
    <mergeCell ref="N38:N39"/>
    <mergeCell ref="O34:O35"/>
    <mergeCell ref="A38:A39"/>
    <mergeCell ref="B38:B39"/>
    <mergeCell ref="E38:E39"/>
    <mergeCell ref="F38:F39"/>
    <mergeCell ref="G38:G39"/>
    <mergeCell ref="H38:H39"/>
    <mergeCell ref="P34:P35"/>
    <mergeCell ref="Q34:Q35"/>
    <mergeCell ref="S30:S33"/>
    <mergeCell ref="B30:B33"/>
    <mergeCell ref="E30:E33"/>
    <mergeCell ref="F30:F33"/>
    <mergeCell ref="G30:G33"/>
    <mergeCell ref="H30:H31"/>
    <mergeCell ref="I30:I31"/>
    <mergeCell ref="J30:J31"/>
    <mergeCell ref="K30:K31"/>
    <mergeCell ref="R34:R35"/>
    <mergeCell ref="O38:O39"/>
    <mergeCell ref="P38:P39"/>
    <mergeCell ref="Q38:Q39"/>
    <mergeCell ref="S38:S39"/>
    <mergeCell ref="T30:T33"/>
    <mergeCell ref="U30:U33"/>
    <mergeCell ref="C31:C32"/>
    <mergeCell ref="D31:D32"/>
    <mergeCell ref="A34:A35"/>
    <mergeCell ref="B34:B35"/>
    <mergeCell ref="E34:E35"/>
    <mergeCell ref="H34:H35"/>
    <mergeCell ref="I34:I35"/>
    <mergeCell ref="L30:L31"/>
    <mergeCell ref="M30:M31"/>
    <mergeCell ref="N30:N31"/>
    <mergeCell ref="O30:O31"/>
    <mergeCell ref="P30:P31"/>
    <mergeCell ref="Q30:Q31"/>
    <mergeCell ref="S34:S35"/>
    <mergeCell ref="T34:T35"/>
    <mergeCell ref="U34:U35"/>
    <mergeCell ref="J34:J35"/>
    <mergeCell ref="K34:K35"/>
    <mergeCell ref="L34:L35"/>
    <mergeCell ref="M34:M35"/>
    <mergeCell ref="N34:N35"/>
    <mergeCell ref="A30:A33"/>
    <mergeCell ref="T20:T22"/>
    <mergeCell ref="U20:U22"/>
    <mergeCell ref="R21:R22"/>
    <mergeCell ref="A25:A26"/>
    <mergeCell ref="B25:B26"/>
    <mergeCell ref="E25:E26"/>
    <mergeCell ref="F25:F26"/>
    <mergeCell ref="G25:G26"/>
    <mergeCell ref="S25:S26"/>
    <mergeCell ref="T25:T26"/>
    <mergeCell ref="M20:M22"/>
    <mergeCell ref="N20:N22"/>
    <mergeCell ref="O20:O22"/>
    <mergeCell ref="P20:P22"/>
    <mergeCell ref="Q20:Q22"/>
    <mergeCell ref="S20:S22"/>
    <mergeCell ref="U25:U26"/>
    <mergeCell ref="A20:A22"/>
    <mergeCell ref="B20:B22"/>
    <mergeCell ref="E20:E22"/>
    <mergeCell ref="H20:H22"/>
    <mergeCell ref="I20:I22"/>
    <mergeCell ref="J20:J22"/>
    <mergeCell ref="K20:K22"/>
    <mergeCell ref="L20:L22"/>
    <mergeCell ref="N17:N18"/>
    <mergeCell ref="T7:T8"/>
    <mergeCell ref="U7:U8"/>
    <mergeCell ref="A11:A12"/>
    <mergeCell ref="B11:B12"/>
    <mergeCell ref="E11:E12"/>
    <mergeCell ref="S11:S12"/>
    <mergeCell ref="T11:T12"/>
    <mergeCell ref="U11:U12"/>
    <mergeCell ref="A17:A19"/>
    <mergeCell ref="B17:B19"/>
    <mergeCell ref="E17:E19"/>
    <mergeCell ref="H17:H18"/>
    <mergeCell ref="I17:I18"/>
    <mergeCell ref="J17:J18"/>
    <mergeCell ref="K17:K18"/>
    <mergeCell ref="L17:L18"/>
    <mergeCell ref="M17:M18"/>
    <mergeCell ref="T17:T19"/>
    <mergeCell ref="U17:U19"/>
    <mergeCell ref="O17:O18"/>
    <mergeCell ref="P17:P18"/>
    <mergeCell ref="Q17:Q18"/>
    <mergeCell ref="O4:O5"/>
    <mergeCell ref="P4:P5"/>
    <mergeCell ref="Q4:Q5"/>
    <mergeCell ref="R17:R18"/>
    <mergeCell ref="S17:S19"/>
    <mergeCell ref="R4:R5"/>
    <mergeCell ref="A7:A8"/>
    <mergeCell ref="B7:B8"/>
    <mergeCell ref="C7:C8"/>
    <mergeCell ref="D7:D8"/>
    <mergeCell ref="E7:E8"/>
    <mergeCell ref="F7:F8"/>
    <mergeCell ref="G7:G8"/>
    <mergeCell ref="S7:S8"/>
    <mergeCell ref="D265:I265"/>
    <mergeCell ref="D266:I266"/>
    <mergeCell ref="B268:I268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2C17D-6559-4561-8099-EDEFF8B0A908}">
  <dimension ref="A1:AF88"/>
  <sheetViews>
    <sheetView workbookViewId="0">
      <selection activeCell="W5" sqref="W5"/>
    </sheetView>
  </sheetViews>
  <sheetFormatPr defaultColWidth="8.88671875" defaultRowHeight="13.8" x14ac:dyDescent="0.25"/>
  <cols>
    <col min="1" max="1" width="16.109375" style="59" customWidth="1"/>
    <col min="2" max="2" width="30.44140625" style="59" customWidth="1"/>
    <col min="3" max="3" width="11.33203125" style="59" customWidth="1"/>
    <col min="4" max="5" width="8.88671875" style="59"/>
    <col min="6" max="6" width="13.6640625" style="59" customWidth="1"/>
    <col min="7" max="7" width="8.88671875" style="312"/>
    <col min="8" max="8" width="14.44140625" style="59" customWidth="1"/>
    <col min="9" max="9" width="19.33203125" style="59" customWidth="1"/>
    <col min="10" max="10" width="13.6640625" style="59" customWidth="1"/>
    <col min="11" max="11" width="8.88671875" style="59"/>
    <col min="12" max="12" width="10.109375" style="59" customWidth="1"/>
    <col min="13" max="13" width="12.88671875" style="59" customWidth="1"/>
    <col min="14" max="14" width="13.6640625" style="59" customWidth="1"/>
    <col min="15" max="15" width="12.6640625" style="59" customWidth="1"/>
    <col min="16" max="16" width="8.88671875" style="59"/>
    <col min="17" max="17" width="15.6640625" style="59" bestFit="1" customWidth="1"/>
    <col min="18" max="18" width="14" style="312" customWidth="1"/>
    <col min="19" max="19" width="19" style="59" customWidth="1"/>
    <col min="20" max="20" width="34.44140625" style="59" customWidth="1"/>
    <col min="21" max="21" width="17.88671875" style="59" customWidth="1"/>
    <col min="22" max="16384" width="8.88671875" style="59"/>
  </cols>
  <sheetData>
    <row r="1" spans="1:21" ht="18" thickBot="1" x14ac:dyDescent="0.3">
      <c r="A1" s="589" t="s">
        <v>1501</v>
      </c>
      <c r="B1" s="589"/>
      <c r="C1" s="589"/>
      <c r="D1" s="589"/>
      <c r="E1" s="589"/>
      <c r="F1" s="589"/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</row>
    <row r="2" spans="1:21" s="304" customFormat="1" ht="32.25" customHeight="1" thickBot="1" x14ac:dyDescent="0.35">
      <c r="A2" s="954" t="s">
        <v>1</v>
      </c>
      <c r="B2" s="592" t="s">
        <v>2</v>
      </c>
      <c r="C2" s="594" t="s">
        <v>3</v>
      </c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6"/>
      <c r="R2" s="592" t="s">
        <v>4</v>
      </c>
      <c r="S2" s="956" t="s">
        <v>5</v>
      </c>
      <c r="T2" s="587" t="s">
        <v>207</v>
      </c>
      <c r="U2" s="957" t="s">
        <v>7</v>
      </c>
    </row>
    <row r="3" spans="1:21" s="304" customFormat="1" ht="24" customHeight="1" thickBot="1" x14ac:dyDescent="0.35">
      <c r="A3" s="955"/>
      <c r="B3" s="593"/>
      <c r="C3" s="625" t="s">
        <v>8</v>
      </c>
      <c r="D3" s="626"/>
      <c r="E3" s="626"/>
      <c r="F3" s="626"/>
      <c r="G3" s="629"/>
      <c r="H3" s="625" t="s">
        <v>9</v>
      </c>
      <c r="I3" s="626"/>
      <c r="J3" s="626"/>
      <c r="K3" s="626"/>
      <c r="L3" s="626"/>
      <c r="M3" s="626"/>
      <c r="N3" s="626"/>
      <c r="O3" s="629"/>
      <c r="P3" s="625" t="s">
        <v>10</v>
      </c>
      <c r="Q3" s="629"/>
      <c r="R3" s="597"/>
      <c r="S3" s="630"/>
      <c r="T3" s="588"/>
      <c r="U3" s="958"/>
    </row>
    <row r="4" spans="1:21" s="304" customFormat="1" ht="48.75" customHeight="1" thickBot="1" x14ac:dyDescent="0.35">
      <c r="A4" s="955"/>
      <c r="B4" s="593"/>
      <c r="C4" s="625" t="s">
        <v>11</v>
      </c>
      <c r="D4" s="629"/>
      <c r="E4" s="603" t="s">
        <v>12</v>
      </c>
      <c r="F4" s="603" t="s">
        <v>13</v>
      </c>
      <c r="G4" s="603" t="s">
        <v>14</v>
      </c>
      <c r="H4" s="603" t="s">
        <v>15</v>
      </c>
      <c r="I4" s="625" t="s">
        <v>16</v>
      </c>
      <c r="J4" s="629"/>
      <c r="K4" s="603" t="s">
        <v>17</v>
      </c>
      <c r="L4" s="603" t="s">
        <v>13</v>
      </c>
      <c r="M4" s="603" t="s">
        <v>18</v>
      </c>
      <c r="N4" s="603" t="s">
        <v>19</v>
      </c>
      <c r="O4" s="603" t="s">
        <v>210</v>
      </c>
      <c r="P4" s="603" t="s">
        <v>20</v>
      </c>
      <c r="Q4" s="603" t="s">
        <v>17</v>
      </c>
      <c r="R4" s="603" t="s">
        <v>21</v>
      </c>
      <c r="S4" s="630"/>
      <c r="T4" s="588"/>
      <c r="U4" s="958"/>
    </row>
    <row r="5" spans="1:21" s="304" customFormat="1" ht="50.4" customHeight="1" thickBot="1" x14ac:dyDescent="0.35">
      <c r="A5" s="955"/>
      <c r="B5" s="593"/>
      <c r="C5" s="2" t="s">
        <v>22</v>
      </c>
      <c r="D5" s="2" t="s">
        <v>23</v>
      </c>
      <c r="E5" s="593"/>
      <c r="F5" s="593"/>
      <c r="G5" s="593"/>
      <c r="H5" s="593"/>
      <c r="I5" s="2" t="s">
        <v>24</v>
      </c>
      <c r="J5" s="2" t="s">
        <v>25</v>
      </c>
      <c r="K5" s="593"/>
      <c r="L5" s="593"/>
      <c r="M5" s="593"/>
      <c r="N5" s="593"/>
      <c r="O5" s="593"/>
      <c r="P5" s="593"/>
      <c r="Q5" s="593"/>
      <c r="R5" s="593"/>
      <c r="S5" s="630"/>
      <c r="T5" s="588"/>
      <c r="U5" s="958"/>
    </row>
    <row r="6" spans="1:21" s="50" customFormat="1" ht="12.6" thickBot="1" x14ac:dyDescent="0.35">
      <c r="A6" s="137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110">
        <v>21</v>
      </c>
    </row>
    <row r="7" spans="1:21" s="304" customFormat="1" x14ac:dyDescent="0.3">
      <c r="A7" s="959" t="s">
        <v>1502</v>
      </c>
      <c r="B7" s="618" t="s">
        <v>948</v>
      </c>
      <c r="C7" s="9">
        <v>0</v>
      </c>
      <c r="D7" s="9">
        <v>0.12</v>
      </c>
      <c r="E7" s="632">
        <v>1.04</v>
      </c>
      <c r="F7" s="9">
        <v>720</v>
      </c>
      <c r="G7" s="9" t="s">
        <v>51</v>
      </c>
      <c r="H7" s="9"/>
      <c r="I7" s="9"/>
      <c r="J7" s="9"/>
      <c r="K7" s="9"/>
      <c r="L7" s="9"/>
      <c r="M7" s="9"/>
      <c r="N7" s="9"/>
      <c r="O7" s="9"/>
      <c r="P7" s="9"/>
      <c r="Q7" s="9"/>
      <c r="R7" s="632">
        <v>70580160016</v>
      </c>
      <c r="S7" s="632" t="s">
        <v>1503</v>
      </c>
      <c r="T7" s="632" t="s">
        <v>1504</v>
      </c>
      <c r="U7" s="635" t="s">
        <v>1215</v>
      </c>
    </row>
    <row r="8" spans="1:21" s="304" customFormat="1" ht="48.75" customHeight="1" thickBot="1" x14ac:dyDescent="0.35">
      <c r="A8" s="689"/>
      <c r="B8" s="609"/>
      <c r="C8" s="20">
        <v>0.12</v>
      </c>
      <c r="D8" s="20">
        <v>1.04</v>
      </c>
      <c r="E8" s="634"/>
      <c r="F8" s="20">
        <v>5520</v>
      </c>
      <c r="G8" s="20" t="s">
        <v>32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634"/>
      <c r="S8" s="634"/>
      <c r="T8" s="634"/>
      <c r="U8" s="637"/>
    </row>
    <row r="9" spans="1:21" s="304" customFormat="1" ht="48.6" thickBot="1" x14ac:dyDescent="0.35">
      <c r="A9" s="22" t="s">
        <v>1505</v>
      </c>
      <c r="B9" s="305" t="s">
        <v>944</v>
      </c>
      <c r="C9" s="24">
        <v>0</v>
      </c>
      <c r="D9" s="27">
        <v>0.36</v>
      </c>
      <c r="E9" s="27">
        <v>0.36</v>
      </c>
      <c r="F9" s="27">
        <v>1620</v>
      </c>
      <c r="G9" s="27" t="s">
        <v>32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>
        <v>70580160220</v>
      </c>
      <c r="S9" s="3" t="s">
        <v>1503</v>
      </c>
      <c r="T9" s="3" t="s">
        <v>1504</v>
      </c>
      <c r="U9" s="5" t="s">
        <v>1215</v>
      </c>
    </row>
    <row r="10" spans="1:21" s="304" customFormat="1" ht="36.6" thickBot="1" x14ac:dyDescent="0.35">
      <c r="A10" s="22" t="s">
        <v>1506</v>
      </c>
      <c r="B10" s="305" t="s">
        <v>1507</v>
      </c>
      <c r="C10" s="24">
        <v>0</v>
      </c>
      <c r="D10" s="27">
        <v>0.45</v>
      </c>
      <c r="E10" s="27">
        <v>0.45</v>
      </c>
      <c r="F10" s="27">
        <v>2025</v>
      </c>
      <c r="G10" s="27" t="s">
        <v>51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>
        <v>70580160219</v>
      </c>
      <c r="S10" s="3" t="s">
        <v>1503</v>
      </c>
      <c r="T10" s="3" t="s">
        <v>1504</v>
      </c>
      <c r="U10" s="5"/>
    </row>
    <row r="11" spans="1:21" s="304" customFormat="1" ht="55.2" customHeight="1" x14ac:dyDescent="0.3">
      <c r="A11" s="604" t="s">
        <v>1508</v>
      </c>
      <c r="B11" s="960" t="s">
        <v>1509</v>
      </c>
      <c r="C11" s="30">
        <v>0</v>
      </c>
      <c r="D11" s="30">
        <v>7.19</v>
      </c>
      <c r="E11" s="610">
        <v>11.58</v>
      </c>
      <c r="F11" s="640">
        <v>63690</v>
      </c>
      <c r="G11" s="640" t="s">
        <v>32</v>
      </c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06">
        <v>70580100104</v>
      </c>
      <c r="S11" s="641"/>
      <c r="T11" s="641" t="s">
        <v>1504</v>
      </c>
      <c r="U11" s="642"/>
    </row>
    <row r="12" spans="1:21" s="304" customFormat="1" ht="14.4" customHeight="1" x14ac:dyDescent="0.3">
      <c r="A12" s="605"/>
      <c r="B12" s="961"/>
      <c r="C12" s="10">
        <v>7.19</v>
      </c>
      <c r="D12" s="10">
        <v>11.46</v>
      </c>
      <c r="E12" s="611"/>
      <c r="F12" s="621"/>
      <c r="G12" s="621"/>
      <c r="H12" s="14"/>
      <c r="I12" s="14"/>
      <c r="J12" s="13"/>
      <c r="K12" s="14"/>
      <c r="L12" s="13"/>
      <c r="M12" s="13"/>
      <c r="N12" s="13"/>
      <c r="O12" s="13"/>
      <c r="P12" s="13"/>
      <c r="Q12" s="13"/>
      <c r="R12" s="307">
        <v>70580160153</v>
      </c>
      <c r="S12" s="633"/>
      <c r="T12" s="633"/>
      <c r="U12" s="636"/>
    </row>
    <row r="13" spans="1:21" s="304" customFormat="1" ht="15" customHeight="1" thickBot="1" x14ac:dyDescent="0.35">
      <c r="A13" s="606"/>
      <c r="B13" s="962"/>
      <c r="C13" s="16">
        <v>11.46</v>
      </c>
      <c r="D13" s="16">
        <v>11.58</v>
      </c>
      <c r="E13" s="612"/>
      <c r="F13" s="631"/>
      <c r="G13" s="631"/>
      <c r="H13" s="20"/>
      <c r="I13" s="20"/>
      <c r="J13" s="19"/>
      <c r="K13" s="20"/>
      <c r="L13" s="19"/>
      <c r="M13" s="19"/>
      <c r="N13" s="19"/>
      <c r="O13" s="19"/>
      <c r="P13" s="19"/>
      <c r="Q13" s="19"/>
      <c r="R13" s="308" t="s">
        <v>1510</v>
      </c>
      <c r="S13" s="634"/>
      <c r="T13" s="634"/>
      <c r="U13" s="637"/>
    </row>
    <row r="14" spans="1:21" s="304" customFormat="1" ht="55.2" customHeight="1" x14ac:dyDescent="0.3">
      <c r="A14" s="604" t="s">
        <v>1511</v>
      </c>
      <c r="B14" s="960" t="s">
        <v>1512</v>
      </c>
      <c r="C14" s="30">
        <v>0</v>
      </c>
      <c r="D14" s="34">
        <v>1.35</v>
      </c>
      <c r="E14" s="640">
        <v>3.37</v>
      </c>
      <c r="F14" s="640">
        <v>18500</v>
      </c>
      <c r="G14" s="640" t="s">
        <v>32</v>
      </c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06">
        <v>70580110159</v>
      </c>
      <c r="S14" s="640"/>
      <c r="T14" s="641" t="s">
        <v>1504</v>
      </c>
      <c r="U14" s="642" t="s">
        <v>1215</v>
      </c>
    </row>
    <row r="15" spans="1:21" s="304" customFormat="1" ht="15" customHeight="1" thickBot="1" x14ac:dyDescent="0.35">
      <c r="A15" s="606"/>
      <c r="B15" s="962"/>
      <c r="C15" s="16">
        <v>1.35</v>
      </c>
      <c r="D15" s="19">
        <v>3.37</v>
      </c>
      <c r="E15" s="631"/>
      <c r="F15" s="631"/>
      <c r="G15" s="631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308">
        <v>70580100105</v>
      </c>
      <c r="S15" s="631"/>
      <c r="T15" s="634"/>
      <c r="U15" s="637"/>
    </row>
    <row r="16" spans="1:21" s="304" customFormat="1" ht="55.2" customHeight="1" x14ac:dyDescent="0.3">
      <c r="A16" s="604" t="s">
        <v>1513</v>
      </c>
      <c r="B16" s="960" t="s">
        <v>1514</v>
      </c>
      <c r="C16" s="30">
        <v>0</v>
      </c>
      <c r="D16" s="34">
        <v>3.13</v>
      </c>
      <c r="E16" s="640">
        <v>6.63</v>
      </c>
      <c r="F16" s="640">
        <v>36460</v>
      </c>
      <c r="G16" s="640" t="s">
        <v>32</v>
      </c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06">
        <v>70580160151</v>
      </c>
      <c r="S16" s="640"/>
      <c r="T16" s="641" t="s">
        <v>1504</v>
      </c>
      <c r="U16" s="642" t="s">
        <v>1215</v>
      </c>
    </row>
    <row r="17" spans="1:21" s="304" customFormat="1" ht="14.4" customHeight="1" x14ac:dyDescent="0.3">
      <c r="A17" s="605"/>
      <c r="B17" s="961"/>
      <c r="C17" s="10">
        <v>3.13</v>
      </c>
      <c r="D17" s="13">
        <v>5.78</v>
      </c>
      <c r="E17" s="621"/>
      <c r="F17" s="621"/>
      <c r="G17" s="621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307">
        <v>70580170022</v>
      </c>
      <c r="S17" s="621"/>
      <c r="T17" s="633"/>
      <c r="U17" s="636"/>
    </row>
    <row r="18" spans="1:21" s="304" customFormat="1" ht="15" customHeight="1" thickBot="1" x14ac:dyDescent="0.35">
      <c r="A18" s="606"/>
      <c r="B18" s="962"/>
      <c r="C18" s="16">
        <v>5.78</v>
      </c>
      <c r="D18" s="19">
        <v>6.63</v>
      </c>
      <c r="E18" s="631"/>
      <c r="F18" s="631"/>
      <c r="G18" s="631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308">
        <v>70580100106</v>
      </c>
      <c r="S18" s="631"/>
      <c r="T18" s="634"/>
      <c r="U18" s="637"/>
    </row>
    <row r="19" spans="1:21" s="304" customFormat="1" ht="48.6" thickBot="1" x14ac:dyDescent="0.35">
      <c r="A19" s="22" t="s">
        <v>1515</v>
      </c>
      <c r="B19" s="305" t="s">
        <v>1516</v>
      </c>
      <c r="C19" s="24">
        <v>0</v>
      </c>
      <c r="D19" s="27">
        <v>1.28</v>
      </c>
      <c r="E19" s="27">
        <v>1.28</v>
      </c>
      <c r="F19" s="27">
        <v>7040</v>
      </c>
      <c r="G19" s="27" t="s">
        <v>32</v>
      </c>
      <c r="H19" s="27"/>
      <c r="I19" s="3"/>
      <c r="J19" s="27"/>
      <c r="K19" s="3"/>
      <c r="L19" s="27"/>
      <c r="M19" s="27"/>
      <c r="N19" s="27"/>
      <c r="O19" s="27"/>
      <c r="P19" s="27"/>
      <c r="Q19" s="27"/>
      <c r="R19" s="309">
        <v>70580160216</v>
      </c>
      <c r="S19" s="27"/>
      <c r="T19" s="3" t="s">
        <v>1504</v>
      </c>
      <c r="U19" s="5" t="s">
        <v>1215</v>
      </c>
    </row>
    <row r="20" spans="1:21" s="304" customFormat="1" ht="55.2" customHeight="1" x14ac:dyDescent="0.3">
      <c r="A20" s="604" t="s">
        <v>1517</v>
      </c>
      <c r="B20" s="963" t="s">
        <v>1518</v>
      </c>
      <c r="C20" s="30">
        <v>0</v>
      </c>
      <c r="D20" s="34">
        <v>0.16</v>
      </c>
      <c r="E20" s="640">
        <v>5.48</v>
      </c>
      <c r="F20" s="34">
        <v>800</v>
      </c>
      <c r="G20" s="34" t="s">
        <v>51</v>
      </c>
      <c r="H20" s="34"/>
      <c r="I20" s="33"/>
      <c r="J20" s="34"/>
      <c r="K20" s="34"/>
      <c r="L20" s="34"/>
      <c r="M20" s="34"/>
      <c r="N20" s="34"/>
      <c r="O20" s="34"/>
      <c r="P20" s="34"/>
      <c r="Q20" s="34"/>
      <c r="R20" s="306">
        <v>70580120029</v>
      </c>
      <c r="S20" s="640"/>
      <c r="T20" s="641" t="s">
        <v>1504</v>
      </c>
      <c r="U20" s="642" t="s">
        <v>1215</v>
      </c>
    </row>
    <row r="21" spans="1:21" s="304" customFormat="1" ht="15" customHeight="1" thickBot="1" x14ac:dyDescent="0.35">
      <c r="A21" s="606"/>
      <c r="B21" s="964"/>
      <c r="C21" s="19">
        <v>0.16</v>
      </c>
      <c r="D21" s="19">
        <v>5.48</v>
      </c>
      <c r="E21" s="631"/>
      <c r="F21" s="19">
        <v>29260</v>
      </c>
      <c r="G21" s="19" t="s">
        <v>32</v>
      </c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308">
        <v>70580130046</v>
      </c>
      <c r="S21" s="631"/>
      <c r="T21" s="634"/>
      <c r="U21" s="637"/>
    </row>
    <row r="22" spans="1:21" s="304" customFormat="1" ht="55.2" customHeight="1" x14ac:dyDescent="0.3">
      <c r="A22" s="643" t="s">
        <v>1519</v>
      </c>
      <c r="B22" s="967" t="s">
        <v>1520</v>
      </c>
      <c r="C22" s="30">
        <v>0</v>
      </c>
      <c r="D22" s="30">
        <v>2</v>
      </c>
      <c r="E22" s="645">
        <v>8.93</v>
      </c>
      <c r="F22" s="647">
        <v>44650</v>
      </c>
      <c r="G22" s="641" t="s">
        <v>32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06">
        <v>70580040116</v>
      </c>
      <c r="S22" s="640"/>
      <c r="T22" s="641" t="s">
        <v>1504</v>
      </c>
      <c r="U22" s="642" t="s">
        <v>1215</v>
      </c>
    </row>
    <row r="23" spans="1:21" s="304" customFormat="1" ht="14.4" customHeight="1" x14ac:dyDescent="0.3">
      <c r="A23" s="742"/>
      <c r="B23" s="968"/>
      <c r="C23" s="10">
        <v>2</v>
      </c>
      <c r="D23" s="10">
        <v>5.59</v>
      </c>
      <c r="E23" s="654"/>
      <c r="F23" s="655"/>
      <c r="G23" s="633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307">
        <v>70580090027</v>
      </c>
      <c r="S23" s="621"/>
      <c r="T23" s="633"/>
      <c r="U23" s="636"/>
    </row>
    <row r="24" spans="1:21" s="304" customFormat="1" ht="14.4" customHeight="1" x14ac:dyDescent="0.3">
      <c r="A24" s="742"/>
      <c r="B24" s="968"/>
      <c r="C24" s="10">
        <v>5.59</v>
      </c>
      <c r="D24" s="10">
        <v>6.91</v>
      </c>
      <c r="E24" s="654"/>
      <c r="F24" s="655"/>
      <c r="G24" s="6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307">
        <v>70580080017</v>
      </c>
      <c r="S24" s="621"/>
      <c r="T24" s="633"/>
      <c r="U24" s="636"/>
    </row>
    <row r="25" spans="1:21" s="304" customFormat="1" ht="14.4" customHeight="1" x14ac:dyDescent="0.3">
      <c r="A25" s="742"/>
      <c r="B25" s="968"/>
      <c r="C25" s="10">
        <v>6.91</v>
      </c>
      <c r="D25" s="10">
        <v>7.32</v>
      </c>
      <c r="E25" s="654"/>
      <c r="F25" s="655"/>
      <c r="G25" s="633"/>
      <c r="H25" s="13"/>
      <c r="I25" s="10"/>
      <c r="J25" s="13"/>
      <c r="K25" s="13"/>
      <c r="L25" s="13"/>
      <c r="M25" s="13"/>
      <c r="N25" s="13"/>
      <c r="O25" s="13"/>
      <c r="P25" s="13"/>
      <c r="Q25" s="13"/>
      <c r="R25" s="307" t="s">
        <v>1521</v>
      </c>
      <c r="S25" s="621"/>
      <c r="T25" s="633"/>
      <c r="U25" s="636"/>
    </row>
    <row r="26" spans="1:21" s="304" customFormat="1" ht="15" customHeight="1" thickBot="1" x14ac:dyDescent="0.35">
      <c r="A26" s="644"/>
      <c r="B26" s="969"/>
      <c r="C26" s="16">
        <v>7.32</v>
      </c>
      <c r="D26" s="16">
        <v>8.93</v>
      </c>
      <c r="E26" s="646"/>
      <c r="F26" s="648"/>
      <c r="G26" s="634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308">
        <v>70580030046</v>
      </c>
      <c r="S26" s="631"/>
      <c r="T26" s="634"/>
      <c r="U26" s="637"/>
    </row>
    <row r="27" spans="1:21" s="304" customFormat="1" ht="48.6" thickBot="1" x14ac:dyDescent="0.35">
      <c r="A27" s="40" t="s">
        <v>1522</v>
      </c>
      <c r="B27" s="173" t="s">
        <v>1523</v>
      </c>
      <c r="C27" s="24">
        <v>0</v>
      </c>
      <c r="D27" s="24">
        <v>1.17</v>
      </c>
      <c r="E27" s="41">
        <v>1.17</v>
      </c>
      <c r="F27" s="4">
        <v>5850</v>
      </c>
      <c r="G27" s="3" t="s">
        <v>32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309">
        <v>70580030060</v>
      </c>
      <c r="S27" s="27"/>
      <c r="T27" s="3" t="s">
        <v>1504</v>
      </c>
      <c r="U27" s="5" t="s">
        <v>1215</v>
      </c>
    </row>
    <row r="28" spans="1:21" s="304" customFormat="1" ht="55.2" customHeight="1" x14ac:dyDescent="0.3">
      <c r="A28" s="643" t="s">
        <v>1524</v>
      </c>
      <c r="B28" s="960" t="s">
        <v>1525</v>
      </c>
      <c r="C28" s="43">
        <v>0</v>
      </c>
      <c r="D28" s="43">
        <v>0.84</v>
      </c>
      <c r="E28" s="645">
        <v>9.36</v>
      </c>
      <c r="F28" s="44">
        <v>5040</v>
      </c>
      <c r="G28" s="33" t="s">
        <v>51</v>
      </c>
      <c r="H28" s="33"/>
      <c r="I28" s="33"/>
      <c r="J28" s="33"/>
      <c r="K28" s="34"/>
      <c r="L28" s="34"/>
      <c r="M28" s="34"/>
      <c r="N28" s="34"/>
      <c r="O28" s="34"/>
      <c r="P28" s="34"/>
      <c r="Q28" s="33"/>
      <c r="R28" s="965">
        <v>70580110122</v>
      </c>
      <c r="S28" s="640"/>
      <c r="T28" s="641" t="s">
        <v>1504</v>
      </c>
      <c r="U28" s="642" t="s">
        <v>1215</v>
      </c>
    </row>
    <row r="29" spans="1:21" s="304" customFormat="1" ht="14.4" customHeight="1" x14ac:dyDescent="0.3">
      <c r="A29" s="742"/>
      <c r="B29" s="961"/>
      <c r="C29" s="48">
        <v>0.84</v>
      </c>
      <c r="D29" s="48">
        <v>1.75</v>
      </c>
      <c r="E29" s="654"/>
      <c r="F29" s="655">
        <v>42600</v>
      </c>
      <c r="G29" s="633" t="s">
        <v>32</v>
      </c>
      <c r="H29" s="14"/>
      <c r="I29" s="14"/>
      <c r="J29" s="14"/>
      <c r="K29" s="13"/>
      <c r="L29" s="13"/>
      <c r="M29" s="13"/>
      <c r="N29" s="13"/>
      <c r="O29" s="13"/>
      <c r="P29" s="13"/>
      <c r="Q29" s="14"/>
      <c r="R29" s="966"/>
      <c r="S29" s="621"/>
      <c r="T29" s="633"/>
      <c r="U29" s="636"/>
    </row>
    <row r="30" spans="1:21" s="304" customFormat="1" ht="24" x14ac:dyDescent="0.3">
      <c r="A30" s="742"/>
      <c r="B30" s="961"/>
      <c r="C30" s="48">
        <v>1.75</v>
      </c>
      <c r="D30" s="48">
        <v>4.34</v>
      </c>
      <c r="E30" s="654"/>
      <c r="F30" s="655"/>
      <c r="G30" s="633"/>
      <c r="H30" s="14" t="s">
        <v>1526</v>
      </c>
      <c r="I30" s="13">
        <v>1.98</v>
      </c>
      <c r="J30" s="14" t="s">
        <v>1527</v>
      </c>
      <c r="K30" s="13">
        <v>24</v>
      </c>
      <c r="L30" s="13">
        <v>186</v>
      </c>
      <c r="M30" s="13"/>
      <c r="N30" s="13"/>
      <c r="O30" s="13" t="s">
        <v>155</v>
      </c>
      <c r="P30" s="13"/>
      <c r="Q30" s="13"/>
      <c r="R30" s="13">
        <v>70580050081</v>
      </c>
      <c r="S30" s="621"/>
      <c r="T30" s="633"/>
      <c r="U30" s="636"/>
    </row>
    <row r="31" spans="1:21" s="304" customFormat="1" ht="14.4" customHeight="1" x14ac:dyDescent="0.3">
      <c r="A31" s="742"/>
      <c r="B31" s="961"/>
      <c r="C31" s="48">
        <v>4.34</v>
      </c>
      <c r="D31" s="48">
        <v>8.67</v>
      </c>
      <c r="E31" s="654"/>
      <c r="F31" s="655"/>
      <c r="G31" s="633"/>
      <c r="H31" s="14"/>
      <c r="I31" s="13"/>
      <c r="J31" s="13"/>
      <c r="K31" s="13"/>
      <c r="L31" s="13"/>
      <c r="M31" s="13"/>
      <c r="N31" s="13"/>
      <c r="O31" s="13"/>
      <c r="P31" s="13"/>
      <c r="Q31" s="13"/>
      <c r="R31" s="13">
        <v>70580010071</v>
      </c>
      <c r="S31" s="621"/>
      <c r="T31" s="633"/>
      <c r="U31" s="636"/>
    </row>
    <row r="32" spans="1:21" s="304" customFormat="1" ht="15" customHeight="1" thickBot="1" x14ac:dyDescent="0.35">
      <c r="A32" s="644"/>
      <c r="B32" s="962"/>
      <c r="C32" s="16">
        <v>8.67</v>
      </c>
      <c r="D32" s="19">
        <v>9.36</v>
      </c>
      <c r="E32" s="646"/>
      <c r="F32" s="648"/>
      <c r="G32" s="634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>
        <v>70580010118</v>
      </c>
      <c r="S32" s="631"/>
      <c r="T32" s="634"/>
      <c r="U32" s="637"/>
    </row>
    <row r="33" spans="1:21" s="304" customFormat="1" ht="55.2" customHeight="1" x14ac:dyDescent="0.3">
      <c r="A33" s="643" t="s">
        <v>1528</v>
      </c>
      <c r="B33" s="960" t="s">
        <v>1529</v>
      </c>
      <c r="C33" s="43">
        <v>0</v>
      </c>
      <c r="D33" s="43">
        <v>3.37</v>
      </c>
      <c r="E33" s="645">
        <v>5.8</v>
      </c>
      <c r="F33" s="647">
        <v>29000</v>
      </c>
      <c r="G33" s="641" t="s">
        <v>32</v>
      </c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>
        <v>70580050081</v>
      </c>
      <c r="S33" s="640"/>
      <c r="T33" s="641" t="s">
        <v>1504</v>
      </c>
      <c r="U33" s="642" t="s">
        <v>1215</v>
      </c>
    </row>
    <row r="34" spans="1:21" s="304" customFormat="1" ht="15" customHeight="1" thickBot="1" x14ac:dyDescent="0.35">
      <c r="A34" s="644"/>
      <c r="B34" s="962"/>
      <c r="C34" s="46">
        <v>3.37</v>
      </c>
      <c r="D34" s="46">
        <v>5.8</v>
      </c>
      <c r="E34" s="646"/>
      <c r="F34" s="648"/>
      <c r="G34" s="634"/>
      <c r="H34" s="19"/>
      <c r="I34" s="19"/>
      <c r="J34" s="19"/>
      <c r="K34" s="19"/>
      <c r="L34" s="19"/>
      <c r="M34" s="19"/>
      <c r="N34" s="19"/>
      <c r="O34" s="19"/>
      <c r="P34" s="19"/>
      <c r="Q34" s="20"/>
      <c r="R34" s="19">
        <v>70580010080</v>
      </c>
      <c r="S34" s="631"/>
      <c r="T34" s="634"/>
      <c r="U34" s="637"/>
    </row>
    <row r="35" spans="1:21" s="304" customFormat="1" ht="36.6" thickBot="1" x14ac:dyDescent="0.35">
      <c r="A35" s="22" t="s">
        <v>1530</v>
      </c>
      <c r="B35" s="305" t="s">
        <v>1531</v>
      </c>
      <c r="C35" s="24">
        <v>0</v>
      </c>
      <c r="D35" s="27">
        <v>1.61</v>
      </c>
      <c r="E35" s="27">
        <v>1.61</v>
      </c>
      <c r="F35" s="27">
        <v>8050</v>
      </c>
      <c r="G35" s="27" t="s">
        <v>32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>
        <v>70580100142</v>
      </c>
      <c r="S35" s="27"/>
      <c r="T35" s="3" t="s">
        <v>1504</v>
      </c>
      <c r="U35" s="110"/>
    </row>
    <row r="36" spans="1:21" s="304" customFormat="1" ht="48.6" thickBot="1" x14ac:dyDescent="0.35">
      <c r="A36" s="310" t="s">
        <v>1532</v>
      </c>
      <c r="B36" s="78" t="s">
        <v>1533</v>
      </c>
      <c r="C36" s="90">
        <v>0</v>
      </c>
      <c r="D36" s="91">
        <v>0.91</v>
      </c>
      <c r="E36" s="91">
        <v>0.91</v>
      </c>
      <c r="F36" s="91">
        <v>4550</v>
      </c>
      <c r="G36" s="91" t="s">
        <v>32</v>
      </c>
      <c r="H36" s="91"/>
      <c r="I36" s="91"/>
      <c r="J36" s="91"/>
      <c r="K36" s="91"/>
      <c r="L36" s="91"/>
      <c r="M36" s="311"/>
      <c r="N36" s="130"/>
      <c r="O36" s="89"/>
      <c r="P36" s="89"/>
      <c r="Q36" s="89"/>
      <c r="R36" s="89">
        <v>70580190048</v>
      </c>
      <c r="S36" s="89"/>
      <c r="T36" s="53" t="s">
        <v>1504</v>
      </c>
      <c r="U36" s="54" t="s">
        <v>1215</v>
      </c>
    </row>
    <row r="37" spans="1:21" s="304" customFormat="1" ht="55.2" customHeight="1" x14ac:dyDescent="0.3">
      <c r="A37" s="604" t="s">
        <v>1534</v>
      </c>
      <c r="B37" s="963" t="s">
        <v>1535</v>
      </c>
      <c r="C37" s="30">
        <v>0</v>
      </c>
      <c r="D37" s="34">
        <v>0.92</v>
      </c>
      <c r="E37" s="640">
        <v>1.51</v>
      </c>
      <c r="F37" s="640">
        <v>6885</v>
      </c>
      <c r="G37" s="640" t="s">
        <v>32</v>
      </c>
      <c r="H37" s="34"/>
      <c r="I37" s="34"/>
      <c r="J37" s="34"/>
      <c r="K37" s="34"/>
      <c r="L37" s="34"/>
      <c r="M37" s="34"/>
      <c r="N37" s="34"/>
      <c r="O37" s="34"/>
      <c r="P37" s="34"/>
      <c r="Q37" s="44"/>
      <c r="R37" s="34">
        <v>70580160215</v>
      </c>
      <c r="S37" s="640"/>
      <c r="T37" s="641" t="s">
        <v>1504</v>
      </c>
      <c r="U37" s="642"/>
    </row>
    <row r="38" spans="1:21" s="304" customFormat="1" ht="14.4" customHeight="1" x14ac:dyDescent="0.3">
      <c r="A38" s="605"/>
      <c r="B38" s="970"/>
      <c r="C38" s="611">
        <v>0.92</v>
      </c>
      <c r="D38" s="621">
        <v>1.51</v>
      </c>
      <c r="E38" s="621"/>
      <c r="F38" s="621"/>
      <c r="G38" s="621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>
        <v>70580170030</v>
      </c>
      <c r="S38" s="621"/>
      <c r="T38" s="633"/>
      <c r="U38" s="636"/>
    </row>
    <row r="39" spans="1:21" s="304" customFormat="1" ht="15" customHeight="1" thickBot="1" x14ac:dyDescent="0.35">
      <c r="A39" s="606"/>
      <c r="B39" s="964"/>
      <c r="C39" s="612"/>
      <c r="D39" s="631"/>
      <c r="E39" s="631"/>
      <c r="F39" s="631"/>
      <c r="G39" s="631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 t="s">
        <v>1536</v>
      </c>
      <c r="S39" s="631"/>
      <c r="T39" s="634"/>
      <c r="U39" s="637"/>
    </row>
    <row r="40" spans="1:21" s="304" customFormat="1" ht="55.2" customHeight="1" x14ac:dyDescent="0.3">
      <c r="A40" s="604" t="s">
        <v>1537</v>
      </c>
      <c r="B40" s="963" t="s">
        <v>1538</v>
      </c>
      <c r="C40" s="610">
        <v>0</v>
      </c>
      <c r="D40" s="640">
        <v>0.67</v>
      </c>
      <c r="E40" s="640">
        <v>0.67</v>
      </c>
      <c r="F40" s="640">
        <v>2345</v>
      </c>
      <c r="G40" s="640" t="s">
        <v>32</v>
      </c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 t="s">
        <v>1539</v>
      </c>
      <c r="S40" s="640"/>
      <c r="T40" s="641" t="s">
        <v>1504</v>
      </c>
      <c r="U40" s="642"/>
    </row>
    <row r="41" spans="1:21" s="304" customFormat="1" ht="14.4" customHeight="1" x14ac:dyDescent="0.3">
      <c r="A41" s="605"/>
      <c r="B41" s="970"/>
      <c r="C41" s="611"/>
      <c r="D41" s="621"/>
      <c r="E41" s="621"/>
      <c r="F41" s="621"/>
      <c r="G41" s="621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 t="s">
        <v>1540</v>
      </c>
      <c r="S41" s="621"/>
      <c r="T41" s="633"/>
      <c r="U41" s="636"/>
    </row>
    <row r="42" spans="1:21" s="304" customFormat="1" ht="14.4" customHeight="1" x14ac:dyDescent="0.3">
      <c r="A42" s="605"/>
      <c r="B42" s="970"/>
      <c r="C42" s="611"/>
      <c r="D42" s="621"/>
      <c r="E42" s="621"/>
      <c r="F42" s="621"/>
      <c r="G42" s="621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 t="s">
        <v>1541</v>
      </c>
      <c r="S42" s="621"/>
      <c r="T42" s="633"/>
      <c r="U42" s="636"/>
    </row>
    <row r="43" spans="1:21" s="304" customFormat="1" ht="14.4" customHeight="1" x14ac:dyDescent="0.3">
      <c r="A43" s="605"/>
      <c r="B43" s="970"/>
      <c r="C43" s="611"/>
      <c r="D43" s="621"/>
      <c r="E43" s="621"/>
      <c r="F43" s="621"/>
      <c r="G43" s="621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 t="s">
        <v>1542</v>
      </c>
      <c r="S43" s="621"/>
      <c r="T43" s="633"/>
      <c r="U43" s="636"/>
    </row>
    <row r="44" spans="1:21" s="304" customFormat="1" ht="15" customHeight="1" thickBot="1" x14ac:dyDescent="0.35">
      <c r="A44" s="606"/>
      <c r="B44" s="964"/>
      <c r="C44" s="612"/>
      <c r="D44" s="631"/>
      <c r="E44" s="631"/>
      <c r="F44" s="631"/>
      <c r="G44" s="631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 t="s">
        <v>1543</v>
      </c>
      <c r="S44" s="631"/>
      <c r="T44" s="634"/>
      <c r="U44" s="637"/>
    </row>
    <row r="45" spans="1:21" s="304" customFormat="1" ht="55.2" customHeight="1" x14ac:dyDescent="0.3">
      <c r="A45" s="604" t="s">
        <v>1544</v>
      </c>
      <c r="B45" s="963" t="s">
        <v>1545</v>
      </c>
      <c r="C45" s="610">
        <v>0</v>
      </c>
      <c r="D45" s="640">
        <v>0.69</v>
      </c>
      <c r="E45" s="640">
        <v>0.69</v>
      </c>
      <c r="F45" s="640">
        <v>2760</v>
      </c>
      <c r="G45" s="640" t="s">
        <v>32</v>
      </c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 t="s">
        <v>1546</v>
      </c>
      <c r="S45" s="640"/>
      <c r="T45" s="641" t="s">
        <v>1504</v>
      </c>
      <c r="U45" s="744"/>
    </row>
    <row r="46" spans="1:21" s="304" customFormat="1" ht="14.4" customHeight="1" x14ac:dyDescent="0.3">
      <c r="A46" s="605"/>
      <c r="B46" s="970"/>
      <c r="C46" s="611"/>
      <c r="D46" s="621"/>
      <c r="E46" s="621"/>
      <c r="F46" s="621"/>
      <c r="G46" s="621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 t="s">
        <v>1547</v>
      </c>
      <c r="S46" s="621"/>
      <c r="T46" s="633"/>
      <c r="U46" s="750"/>
    </row>
    <row r="47" spans="1:21" s="304" customFormat="1" ht="14.4" customHeight="1" x14ac:dyDescent="0.3">
      <c r="A47" s="605"/>
      <c r="B47" s="970"/>
      <c r="C47" s="611"/>
      <c r="D47" s="621"/>
      <c r="E47" s="621"/>
      <c r="F47" s="621"/>
      <c r="G47" s="621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 t="s">
        <v>1548</v>
      </c>
      <c r="S47" s="621"/>
      <c r="T47" s="633"/>
      <c r="U47" s="750"/>
    </row>
    <row r="48" spans="1:21" s="304" customFormat="1" ht="14.4" customHeight="1" x14ac:dyDescent="0.3">
      <c r="A48" s="605"/>
      <c r="B48" s="970"/>
      <c r="C48" s="611"/>
      <c r="D48" s="621"/>
      <c r="E48" s="621"/>
      <c r="F48" s="621"/>
      <c r="G48" s="621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 t="s">
        <v>1549</v>
      </c>
      <c r="S48" s="621"/>
      <c r="T48" s="633"/>
      <c r="U48" s="750"/>
    </row>
    <row r="49" spans="1:21" s="304" customFormat="1" ht="14.4" customHeight="1" x14ac:dyDescent="0.3">
      <c r="A49" s="605"/>
      <c r="B49" s="970"/>
      <c r="C49" s="611"/>
      <c r="D49" s="621"/>
      <c r="E49" s="621"/>
      <c r="F49" s="621"/>
      <c r="G49" s="621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 t="s">
        <v>1550</v>
      </c>
      <c r="S49" s="621"/>
      <c r="T49" s="633"/>
      <c r="U49" s="750"/>
    </row>
    <row r="50" spans="1:21" s="304" customFormat="1" ht="14.4" customHeight="1" x14ac:dyDescent="0.3">
      <c r="A50" s="605"/>
      <c r="B50" s="970"/>
      <c r="C50" s="611"/>
      <c r="D50" s="621"/>
      <c r="E50" s="621"/>
      <c r="F50" s="621"/>
      <c r="G50" s="621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 t="s">
        <v>1551</v>
      </c>
      <c r="S50" s="621"/>
      <c r="T50" s="633"/>
      <c r="U50" s="750"/>
    </row>
    <row r="51" spans="1:21" s="304" customFormat="1" ht="15" customHeight="1" thickBot="1" x14ac:dyDescent="0.35">
      <c r="A51" s="606"/>
      <c r="B51" s="964"/>
      <c r="C51" s="612"/>
      <c r="D51" s="631"/>
      <c r="E51" s="631"/>
      <c r="F51" s="631"/>
      <c r="G51" s="631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 t="s">
        <v>1552</v>
      </c>
      <c r="S51" s="631"/>
      <c r="T51" s="634"/>
      <c r="U51" s="745"/>
    </row>
    <row r="52" spans="1:21" s="304" customFormat="1" ht="36.6" thickBot="1" x14ac:dyDescent="0.35">
      <c r="A52" s="22" t="s">
        <v>1553</v>
      </c>
      <c r="B52" s="305" t="s">
        <v>1554</v>
      </c>
      <c r="C52" s="24">
        <v>0</v>
      </c>
      <c r="D52" s="27">
        <v>0.73</v>
      </c>
      <c r="E52" s="27">
        <v>0.73</v>
      </c>
      <c r="F52" s="27">
        <v>2560</v>
      </c>
      <c r="G52" s="27" t="s">
        <v>32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>
        <v>70580110149</v>
      </c>
      <c r="S52" s="27"/>
      <c r="T52" s="3" t="s">
        <v>1504</v>
      </c>
      <c r="U52" s="110"/>
    </row>
    <row r="53" spans="1:21" s="304" customFormat="1" ht="48.6" thickBot="1" x14ac:dyDescent="0.35">
      <c r="A53" s="22" t="s">
        <v>1555</v>
      </c>
      <c r="B53" s="305" t="s">
        <v>1556</v>
      </c>
      <c r="C53" s="24">
        <v>0</v>
      </c>
      <c r="D53" s="27">
        <v>0.92</v>
      </c>
      <c r="E53" s="27">
        <v>0.92</v>
      </c>
      <c r="F53" s="27">
        <v>3680</v>
      </c>
      <c r="G53" s="27" t="s">
        <v>32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>
        <v>70580160217</v>
      </c>
      <c r="S53" s="27"/>
      <c r="T53" s="3" t="s">
        <v>1504</v>
      </c>
      <c r="U53" s="5" t="s">
        <v>1215</v>
      </c>
    </row>
    <row r="54" spans="1:21" s="304" customFormat="1" ht="36.6" thickBot="1" x14ac:dyDescent="0.35">
      <c r="A54" s="22" t="s">
        <v>1557</v>
      </c>
      <c r="B54" s="305" t="s">
        <v>1558</v>
      </c>
      <c r="C54" s="24">
        <v>0</v>
      </c>
      <c r="D54" s="27">
        <v>4.45</v>
      </c>
      <c r="E54" s="27">
        <v>4.45</v>
      </c>
      <c r="F54" s="27">
        <v>22250</v>
      </c>
      <c r="G54" s="27" t="s">
        <v>32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>
        <v>70580050106</v>
      </c>
      <c r="S54" s="27"/>
      <c r="T54" s="3" t="s">
        <v>1504</v>
      </c>
      <c r="U54" s="110"/>
    </row>
    <row r="55" spans="1:21" s="304" customFormat="1" ht="55.2" customHeight="1" x14ac:dyDescent="0.3">
      <c r="A55" s="604" t="s">
        <v>1559</v>
      </c>
      <c r="B55" s="963" t="s">
        <v>1560</v>
      </c>
      <c r="C55" s="30">
        <v>0</v>
      </c>
      <c r="D55" s="34">
        <v>0.03</v>
      </c>
      <c r="E55" s="640">
        <v>1.17</v>
      </c>
      <c r="F55" s="640">
        <v>4680</v>
      </c>
      <c r="G55" s="640" t="s">
        <v>32</v>
      </c>
      <c r="H55" s="34"/>
      <c r="I55" s="33"/>
      <c r="J55" s="34"/>
      <c r="K55" s="34"/>
      <c r="L55" s="34"/>
      <c r="M55" s="34"/>
      <c r="N55" s="34"/>
      <c r="O55" s="34"/>
      <c r="P55" s="34"/>
      <c r="Q55" s="34"/>
      <c r="R55" s="34" t="s">
        <v>1510</v>
      </c>
      <c r="S55" s="640"/>
      <c r="T55" s="641" t="s">
        <v>1504</v>
      </c>
      <c r="U55" s="642" t="s">
        <v>1215</v>
      </c>
    </row>
    <row r="56" spans="1:21" s="304" customFormat="1" ht="14.4" customHeight="1" x14ac:dyDescent="0.3">
      <c r="A56" s="605"/>
      <c r="B56" s="970"/>
      <c r="C56" s="10">
        <v>0.03</v>
      </c>
      <c r="D56" s="13">
        <v>0.34</v>
      </c>
      <c r="E56" s="621"/>
      <c r="F56" s="621"/>
      <c r="G56" s="621"/>
      <c r="H56" s="13"/>
      <c r="I56" s="14"/>
      <c r="J56" s="13"/>
      <c r="K56" s="13"/>
      <c r="L56" s="13"/>
      <c r="M56" s="13"/>
      <c r="N56" s="13"/>
      <c r="O56" s="13"/>
      <c r="P56" s="13"/>
      <c r="Q56" s="13"/>
      <c r="R56" s="13">
        <v>70580160218</v>
      </c>
      <c r="S56" s="621"/>
      <c r="T56" s="633"/>
      <c r="U56" s="636"/>
    </row>
    <row r="57" spans="1:21" s="304" customFormat="1" ht="50.4" customHeight="1" thickBot="1" x14ac:dyDescent="0.35">
      <c r="A57" s="606"/>
      <c r="B57" s="964"/>
      <c r="C57" s="16">
        <v>0.34</v>
      </c>
      <c r="D57" s="19">
        <v>1.17</v>
      </c>
      <c r="E57" s="631"/>
      <c r="F57" s="631"/>
      <c r="G57" s="631"/>
      <c r="H57" s="19"/>
      <c r="I57" s="20"/>
      <c r="J57" s="19"/>
      <c r="K57" s="19"/>
      <c r="L57" s="19"/>
      <c r="M57" s="19"/>
      <c r="N57" s="19"/>
      <c r="O57" s="19"/>
      <c r="P57" s="19"/>
      <c r="Q57" s="19"/>
      <c r="R57" s="19">
        <v>70580160217</v>
      </c>
      <c r="S57" s="631"/>
      <c r="T57" s="634"/>
      <c r="U57" s="637"/>
    </row>
    <row r="58" spans="1:21" s="304" customFormat="1" ht="55.2" customHeight="1" x14ac:dyDescent="0.3">
      <c r="A58" s="604" t="s">
        <v>1561</v>
      </c>
      <c r="B58" s="963" t="s">
        <v>1562</v>
      </c>
      <c r="C58" s="610">
        <v>0</v>
      </c>
      <c r="D58" s="640">
        <v>1.85</v>
      </c>
      <c r="E58" s="640">
        <v>1.85</v>
      </c>
      <c r="F58" s="640">
        <v>7400</v>
      </c>
      <c r="G58" s="640" t="s">
        <v>32</v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 t="s">
        <v>1563</v>
      </c>
      <c r="S58" s="640"/>
      <c r="T58" s="641" t="s">
        <v>1504</v>
      </c>
      <c r="U58" s="744"/>
    </row>
    <row r="59" spans="1:21" s="304" customFormat="1" ht="14.4" customHeight="1" x14ac:dyDescent="0.3">
      <c r="A59" s="605"/>
      <c r="B59" s="970"/>
      <c r="C59" s="611"/>
      <c r="D59" s="621"/>
      <c r="E59" s="621"/>
      <c r="F59" s="621"/>
      <c r="G59" s="621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 t="s">
        <v>1564</v>
      </c>
      <c r="S59" s="621"/>
      <c r="T59" s="633"/>
      <c r="U59" s="750"/>
    </row>
    <row r="60" spans="1:21" s="304" customFormat="1" ht="14.4" customHeight="1" x14ac:dyDescent="0.3">
      <c r="A60" s="605"/>
      <c r="B60" s="970"/>
      <c r="C60" s="611"/>
      <c r="D60" s="621"/>
      <c r="E60" s="621"/>
      <c r="F60" s="621"/>
      <c r="G60" s="621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 t="s">
        <v>1565</v>
      </c>
      <c r="S60" s="621"/>
      <c r="T60" s="633"/>
      <c r="U60" s="750"/>
    </row>
    <row r="61" spans="1:21" s="304" customFormat="1" ht="14.4" customHeight="1" x14ac:dyDescent="0.3">
      <c r="A61" s="605"/>
      <c r="B61" s="970"/>
      <c r="C61" s="611"/>
      <c r="D61" s="621"/>
      <c r="E61" s="621"/>
      <c r="F61" s="621"/>
      <c r="G61" s="621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 t="s">
        <v>1566</v>
      </c>
      <c r="S61" s="621"/>
      <c r="T61" s="633"/>
      <c r="U61" s="750"/>
    </row>
    <row r="62" spans="1:21" s="304" customFormat="1" ht="14.4" customHeight="1" x14ac:dyDescent="0.3">
      <c r="A62" s="605"/>
      <c r="B62" s="970"/>
      <c r="C62" s="611"/>
      <c r="D62" s="621"/>
      <c r="E62" s="621"/>
      <c r="F62" s="621"/>
      <c r="G62" s="621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 t="s">
        <v>1567</v>
      </c>
      <c r="S62" s="621"/>
      <c r="T62" s="633"/>
      <c r="U62" s="750"/>
    </row>
    <row r="63" spans="1:21" s="304" customFormat="1" ht="15" customHeight="1" thickBot="1" x14ac:dyDescent="0.35">
      <c r="A63" s="606"/>
      <c r="B63" s="964"/>
      <c r="C63" s="612"/>
      <c r="D63" s="631"/>
      <c r="E63" s="631"/>
      <c r="F63" s="631"/>
      <c r="G63" s="631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 t="s">
        <v>1568</v>
      </c>
      <c r="S63" s="631"/>
      <c r="T63" s="634"/>
      <c r="U63" s="745"/>
    </row>
    <row r="64" spans="1:21" s="304" customFormat="1" ht="55.2" customHeight="1" x14ac:dyDescent="0.3">
      <c r="A64" s="604" t="s">
        <v>1569</v>
      </c>
      <c r="B64" s="963" t="s">
        <v>1570</v>
      </c>
      <c r="C64" s="610">
        <v>0</v>
      </c>
      <c r="D64" s="640">
        <v>0.77</v>
      </c>
      <c r="E64" s="640">
        <v>0.77</v>
      </c>
      <c r="F64" s="640">
        <v>3080</v>
      </c>
      <c r="G64" s="640" t="s">
        <v>32</v>
      </c>
      <c r="H64" s="34"/>
      <c r="I64" s="33"/>
      <c r="J64" s="34"/>
      <c r="K64" s="34"/>
      <c r="L64" s="34"/>
      <c r="M64" s="34"/>
      <c r="N64" s="34"/>
      <c r="O64" s="34"/>
      <c r="P64" s="34"/>
      <c r="Q64" s="34"/>
      <c r="R64" s="34" t="s">
        <v>1571</v>
      </c>
      <c r="S64" s="640"/>
      <c r="T64" s="641" t="s">
        <v>1504</v>
      </c>
      <c r="U64" s="744"/>
    </row>
    <row r="65" spans="1:21" s="304" customFormat="1" ht="14.4" customHeight="1" x14ac:dyDescent="0.3">
      <c r="A65" s="605"/>
      <c r="B65" s="970"/>
      <c r="C65" s="611"/>
      <c r="D65" s="621"/>
      <c r="E65" s="621"/>
      <c r="F65" s="621"/>
      <c r="G65" s="621"/>
      <c r="H65" s="13"/>
      <c r="I65" s="14"/>
      <c r="J65" s="13"/>
      <c r="K65" s="13"/>
      <c r="L65" s="13"/>
      <c r="M65" s="13"/>
      <c r="N65" s="13"/>
      <c r="O65" s="13"/>
      <c r="P65" s="13"/>
      <c r="Q65" s="13"/>
      <c r="R65" s="13" t="s">
        <v>1510</v>
      </c>
      <c r="S65" s="621"/>
      <c r="T65" s="633"/>
      <c r="U65" s="750"/>
    </row>
    <row r="66" spans="1:21" s="304" customFormat="1" ht="14.4" customHeight="1" x14ac:dyDescent="0.3">
      <c r="A66" s="605"/>
      <c r="B66" s="970"/>
      <c r="C66" s="611"/>
      <c r="D66" s="621"/>
      <c r="E66" s="621"/>
      <c r="F66" s="621"/>
      <c r="G66" s="621"/>
      <c r="H66" s="13"/>
      <c r="I66" s="14"/>
      <c r="J66" s="13"/>
      <c r="K66" s="13"/>
      <c r="L66" s="13"/>
      <c r="M66" s="13"/>
      <c r="N66" s="13"/>
      <c r="O66" s="13"/>
      <c r="P66" s="13"/>
      <c r="Q66" s="13"/>
      <c r="R66" s="13" t="s">
        <v>1572</v>
      </c>
      <c r="S66" s="621"/>
      <c r="T66" s="633"/>
      <c r="U66" s="750"/>
    </row>
    <row r="67" spans="1:21" s="304" customFormat="1" ht="14.4" customHeight="1" x14ac:dyDescent="0.3">
      <c r="A67" s="605"/>
      <c r="B67" s="970"/>
      <c r="C67" s="611"/>
      <c r="D67" s="621"/>
      <c r="E67" s="621"/>
      <c r="F67" s="621"/>
      <c r="G67" s="621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 t="s">
        <v>1573</v>
      </c>
      <c r="S67" s="621"/>
      <c r="T67" s="633"/>
      <c r="U67" s="750"/>
    </row>
    <row r="68" spans="1:21" s="304" customFormat="1" ht="14.4" customHeight="1" x14ac:dyDescent="0.3">
      <c r="A68" s="605"/>
      <c r="B68" s="970"/>
      <c r="C68" s="611"/>
      <c r="D68" s="621"/>
      <c r="E68" s="621"/>
      <c r="F68" s="621"/>
      <c r="G68" s="621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 t="s">
        <v>1574</v>
      </c>
      <c r="S68" s="621"/>
      <c r="T68" s="633"/>
      <c r="U68" s="750"/>
    </row>
    <row r="69" spans="1:21" s="304" customFormat="1" ht="14.4" customHeight="1" x14ac:dyDescent="0.3">
      <c r="A69" s="605"/>
      <c r="B69" s="970"/>
      <c r="C69" s="611"/>
      <c r="D69" s="621"/>
      <c r="E69" s="621"/>
      <c r="F69" s="621"/>
      <c r="G69" s="621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 t="s">
        <v>1575</v>
      </c>
      <c r="S69" s="621"/>
      <c r="T69" s="633"/>
      <c r="U69" s="750"/>
    </row>
    <row r="70" spans="1:21" s="304" customFormat="1" ht="15" customHeight="1" thickBot="1" x14ac:dyDescent="0.35">
      <c r="A70" s="606"/>
      <c r="B70" s="964"/>
      <c r="C70" s="612"/>
      <c r="D70" s="631"/>
      <c r="E70" s="631"/>
      <c r="F70" s="631"/>
      <c r="G70" s="631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 t="s">
        <v>1576</v>
      </c>
      <c r="S70" s="631"/>
      <c r="T70" s="634"/>
      <c r="U70" s="745"/>
    </row>
    <row r="71" spans="1:21" s="304" customFormat="1" ht="36.6" thickBot="1" x14ac:dyDescent="0.35">
      <c r="A71" s="22" t="s">
        <v>1577</v>
      </c>
      <c r="B71" s="305" t="s">
        <v>1578</v>
      </c>
      <c r="C71" s="24">
        <v>0</v>
      </c>
      <c r="D71" s="27">
        <v>0.94</v>
      </c>
      <c r="E71" s="27">
        <v>0.94</v>
      </c>
      <c r="F71" s="27">
        <v>4230</v>
      </c>
      <c r="G71" s="27" t="s">
        <v>32</v>
      </c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>
        <v>70580060086</v>
      </c>
      <c r="S71" s="27"/>
      <c r="T71" s="3" t="s">
        <v>1504</v>
      </c>
      <c r="U71" s="110"/>
    </row>
    <row r="72" spans="1:21" s="304" customFormat="1" ht="55.2" customHeight="1" x14ac:dyDescent="0.3">
      <c r="A72" s="604" t="s">
        <v>1579</v>
      </c>
      <c r="B72" s="963" t="s">
        <v>1580</v>
      </c>
      <c r="C72" s="610">
        <v>0</v>
      </c>
      <c r="D72" s="640">
        <v>0.52</v>
      </c>
      <c r="E72" s="640">
        <v>0.52</v>
      </c>
      <c r="F72" s="640">
        <v>2340</v>
      </c>
      <c r="G72" s="640" t="s">
        <v>32</v>
      </c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 t="s">
        <v>1581</v>
      </c>
      <c r="S72" s="640"/>
      <c r="T72" s="641" t="s">
        <v>1504</v>
      </c>
      <c r="U72" s="744"/>
    </row>
    <row r="73" spans="1:21" s="304" customFormat="1" ht="14.4" customHeight="1" x14ac:dyDescent="0.3">
      <c r="A73" s="605"/>
      <c r="B73" s="970"/>
      <c r="C73" s="611"/>
      <c r="D73" s="621"/>
      <c r="E73" s="621"/>
      <c r="F73" s="621"/>
      <c r="G73" s="621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 t="s">
        <v>1582</v>
      </c>
      <c r="S73" s="621"/>
      <c r="T73" s="633"/>
      <c r="U73" s="750"/>
    </row>
    <row r="74" spans="1:21" s="304" customFormat="1" ht="14.4" customHeight="1" x14ac:dyDescent="0.3">
      <c r="A74" s="605"/>
      <c r="B74" s="970"/>
      <c r="C74" s="611"/>
      <c r="D74" s="621"/>
      <c r="E74" s="621"/>
      <c r="F74" s="621"/>
      <c r="G74" s="621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 t="s">
        <v>1583</v>
      </c>
      <c r="S74" s="621"/>
      <c r="T74" s="633"/>
      <c r="U74" s="750"/>
    </row>
    <row r="75" spans="1:21" s="304" customFormat="1" ht="15" customHeight="1" thickBot="1" x14ac:dyDescent="0.35">
      <c r="A75" s="606"/>
      <c r="B75" s="964"/>
      <c r="C75" s="612"/>
      <c r="D75" s="631"/>
      <c r="E75" s="631"/>
      <c r="F75" s="631"/>
      <c r="G75" s="631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 t="s">
        <v>1584</v>
      </c>
      <c r="S75" s="631"/>
      <c r="T75" s="634"/>
      <c r="U75" s="745"/>
    </row>
    <row r="76" spans="1:21" x14ac:dyDescent="0.25">
      <c r="A76" s="312"/>
      <c r="B76" s="312"/>
      <c r="C76" s="312"/>
      <c r="D76" s="312"/>
      <c r="E76" s="312"/>
      <c r="F76" s="312"/>
      <c r="H76" s="312"/>
      <c r="I76" s="312"/>
      <c r="J76" s="312"/>
      <c r="K76" s="312"/>
      <c r="L76" s="312"/>
      <c r="M76" s="312"/>
      <c r="N76" s="312"/>
      <c r="O76" s="312"/>
      <c r="P76" s="312"/>
      <c r="Q76" s="312"/>
      <c r="S76" s="312"/>
    </row>
    <row r="77" spans="1:21" ht="24" x14ac:dyDescent="0.25">
      <c r="B77" s="61" t="s">
        <v>202</v>
      </c>
    </row>
    <row r="78" spans="1:21" ht="24" x14ac:dyDescent="0.25">
      <c r="B78" s="61" t="s">
        <v>203</v>
      </c>
    </row>
    <row r="79" spans="1:21" ht="24" x14ac:dyDescent="0.25">
      <c r="B79" s="61" t="s">
        <v>204</v>
      </c>
    </row>
    <row r="80" spans="1:21" ht="24" x14ac:dyDescent="0.25">
      <c r="B80" s="61" t="s">
        <v>205</v>
      </c>
    </row>
    <row r="82" spans="1:32" ht="27.6" customHeight="1" x14ac:dyDescent="0.25">
      <c r="A82" s="509"/>
      <c r="B82" s="509"/>
      <c r="C82" s="512" t="s">
        <v>3985</v>
      </c>
      <c r="D82" s="543" t="s">
        <v>3986</v>
      </c>
      <c r="E82" s="543"/>
      <c r="F82" s="543"/>
      <c r="G82" s="509"/>
      <c r="H82" s="509"/>
      <c r="I82" s="509"/>
      <c r="J82" s="509"/>
      <c r="K82" s="509"/>
      <c r="L82" s="509"/>
      <c r="M82" s="509"/>
      <c r="N82" s="509"/>
      <c r="O82" s="509"/>
      <c r="P82" s="509"/>
      <c r="Q82" s="509"/>
      <c r="R82" s="509"/>
      <c r="S82" s="509"/>
      <c r="T82" s="509"/>
      <c r="U82" s="509"/>
      <c r="V82" s="509"/>
      <c r="W82" s="509"/>
      <c r="X82" s="509"/>
      <c r="Y82" s="509"/>
      <c r="Z82" s="509"/>
      <c r="AA82" s="509"/>
      <c r="AB82" s="509"/>
      <c r="AC82" s="509"/>
      <c r="AD82" s="509"/>
      <c r="AE82" s="510"/>
      <c r="AF82" s="510"/>
    </row>
    <row r="83" spans="1:32" x14ac:dyDescent="0.25">
      <c r="A83" s="509"/>
      <c r="B83" s="509"/>
      <c r="C83" s="509"/>
      <c r="D83" s="509"/>
      <c r="E83" s="509"/>
      <c r="F83" s="509"/>
      <c r="G83" s="509"/>
      <c r="H83" s="509"/>
      <c r="I83" s="509"/>
      <c r="J83" s="509"/>
      <c r="K83" s="509"/>
      <c r="L83" s="509"/>
      <c r="M83" s="509"/>
      <c r="N83" s="509"/>
      <c r="O83" s="509"/>
      <c r="P83" s="509"/>
      <c r="Q83" s="509"/>
      <c r="R83" s="509"/>
      <c r="S83" s="509"/>
      <c r="T83" s="509"/>
      <c r="U83" s="509"/>
      <c r="V83" s="509"/>
      <c r="W83" s="509"/>
      <c r="X83" s="509"/>
      <c r="Y83" s="509"/>
      <c r="Z83" s="509"/>
      <c r="AA83" s="509"/>
      <c r="AB83" s="509"/>
      <c r="AC83" s="509"/>
      <c r="AD83" s="509"/>
      <c r="AE83" s="510"/>
      <c r="AF83" s="510"/>
    </row>
    <row r="84" spans="1:32" x14ac:dyDescent="0.25">
      <c r="A84" s="509"/>
      <c r="B84" s="509"/>
      <c r="C84" s="509"/>
      <c r="D84" s="509"/>
      <c r="E84" s="509"/>
      <c r="F84" s="509"/>
      <c r="G84" s="509"/>
      <c r="H84" s="509"/>
      <c r="I84" s="509"/>
      <c r="J84" s="509"/>
      <c r="K84" s="509"/>
      <c r="L84" s="509"/>
      <c r="M84" s="509"/>
      <c r="N84" s="509"/>
      <c r="O84" s="509"/>
      <c r="P84" s="509"/>
      <c r="Q84" s="509"/>
      <c r="R84" s="509"/>
      <c r="S84" s="509"/>
      <c r="T84" s="509"/>
      <c r="U84" s="509"/>
      <c r="V84" s="509"/>
      <c r="W84" s="509"/>
      <c r="X84" s="509"/>
      <c r="Y84" s="509"/>
      <c r="Z84" s="509"/>
      <c r="AA84" s="509"/>
      <c r="AB84" s="509"/>
      <c r="AC84" s="509"/>
      <c r="AD84" s="509"/>
      <c r="AE84" s="417"/>
      <c r="AF84" s="510"/>
    </row>
    <row r="85" spans="1:32" x14ac:dyDescent="0.25">
      <c r="B85" s="60"/>
      <c r="C85" s="438" t="s">
        <v>3989</v>
      </c>
      <c r="D85" s="544" t="s">
        <v>3990</v>
      </c>
      <c r="E85" s="544"/>
      <c r="F85" s="544"/>
      <c r="G85" s="544"/>
      <c r="H85" s="544"/>
      <c r="I85" s="544"/>
      <c r="R85" s="59"/>
      <c r="T85" s="60"/>
      <c r="U85" s="60"/>
    </row>
    <row r="86" spans="1:32" ht="13.95" customHeight="1" x14ac:dyDescent="0.25">
      <c r="B86" s="60"/>
      <c r="C86" s="438" t="s">
        <v>3987</v>
      </c>
      <c r="D86" s="553" t="s">
        <v>3988</v>
      </c>
      <c r="E86" s="553"/>
      <c r="F86" s="553"/>
      <c r="G86" s="553"/>
      <c r="H86" s="553"/>
      <c r="I86" s="553"/>
      <c r="R86" s="59"/>
      <c r="T86" s="60"/>
      <c r="U86" s="60"/>
    </row>
    <row r="87" spans="1:32" ht="14.4" customHeight="1" x14ac:dyDescent="0.25">
      <c r="G87" s="59"/>
      <c r="R87" s="59"/>
      <c r="T87" s="60"/>
      <c r="U87" s="60"/>
    </row>
    <row r="88" spans="1:32" x14ac:dyDescent="0.25">
      <c r="A88" s="469"/>
      <c r="B88" s="743" t="s">
        <v>3984</v>
      </c>
      <c r="C88" s="743"/>
      <c r="D88" s="743"/>
      <c r="E88" s="743"/>
      <c r="F88" s="743"/>
      <c r="G88" s="743"/>
      <c r="H88" s="743"/>
      <c r="I88" s="743"/>
      <c r="R88" s="59"/>
      <c r="T88" s="304"/>
      <c r="U88" s="304"/>
    </row>
  </sheetData>
  <mergeCells count="159">
    <mergeCell ref="D82:F82"/>
    <mergeCell ref="D85:I85"/>
    <mergeCell ref="D86:I86"/>
    <mergeCell ref="B88:I88"/>
    <mergeCell ref="U72:U75"/>
    <mergeCell ref="U64:U70"/>
    <mergeCell ref="A72:A75"/>
    <mergeCell ref="B72:B75"/>
    <mergeCell ref="C72:C75"/>
    <mergeCell ref="D72:D75"/>
    <mergeCell ref="E72:E75"/>
    <mergeCell ref="F72:F75"/>
    <mergeCell ref="G72:G75"/>
    <mergeCell ref="S72:S75"/>
    <mergeCell ref="T72:T75"/>
    <mergeCell ref="A64:A70"/>
    <mergeCell ref="B64:B70"/>
    <mergeCell ref="C64:C70"/>
    <mergeCell ref="D64:D70"/>
    <mergeCell ref="E64:E70"/>
    <mergeCell ref="F64:F70"/>
    <mergeCell ref="G64:G70"/>
    <mergeCell ref="S64:S70"/>
    <mergeCell ref="T64:T70"/>
    <mergeCell ref="A55:A57"/>
    <mergeCell ref="B55:B57"/>
    <mergeCell ref="E55:E57"/>
    <mergeCell ref="F55:F57"/>
    <mergeCell ref="G55:G57"/>
    <mergeCell ref="S55:S57"/>
    <mergeCell ref="T55:T57"/>
    <mergeCell ref="U55:U57"/>
    <mergeCell ref="A58:A63"/>
    <mergeCell ref="B58:B63"/>
    <mergeCell ref="C58:C63"/>
    <mergeCell ref="D58:D63"/>
    <mergeCell ref="E58:E63"/>
    <mergeCell ref="F58:F63"/>
    <mergeCell ref="G58:G63"/>
    <mergeCell ref="S58:S63"/>
    <mergeCell ref="T58:T63"/>
    <mergeCell ref="U58:U63"/>
    <mergeCell ref="U40:U44"/>
    <mergeCell ref="A45:A51"/>
    <mergeCell ref="B45:B51"/>
    <mergeCell ref="C45:C51"/>
    <mergeCell ref="D45:D51"/>
    <mergeCell ref="E45:E51"/>
    <mergeCell ref="F45:F51"/>
    <mergeCell ref="G45:G51"/>
    <mergeCell ref="S45:S51"/>
    <mergeCell ref="T45:T51"/>
    <mergeCell ref="U45:U51"/>
    <mergeCell ref="A40:A44"/>
    <mergeCell ref="B40:B44"/>
    <mergeCell ref="C40:C44"/>
    <mergeCell ref="D40:D44"/>
    <mergeCell ref="E40:E44"/>
    <mergeCell ref="F40:F44"/>
    <mergeCell ref="G40:G44"/>
    <mergeCell ref="S40:S44"/>
    <mergeCell ref="T40:T44"/>
    <mergeCell ref="U33:U34"/>
    <mergeCell ref="A37:A39"/>
    <mergeCell ref="B37:B39"/>
    <mergeCell ref="E37:E39"/>
    <mergeCell ref="F37:F39"/>
    <mergeCell ref="G37:G39"/>
    <mergeCell ref="S37:S39"/>
    <mergeCell ref="T37:T39"/>
    <mergeCell ref="U37:U39"/>
    <mergeCell ref="C38:C39"/>
    <mergeCell ref="D38:D39"/>
    <mergeCell ref="G29:G32"/>
    <mergeCell ref="A33:A34"/>
    <mergeCell ref="B33:B34"/>
    <mergeCell ref="E33:E34"/>
    <mergeCell ref="F33:F34"/>
    <mergeCell ref="G33:G34"/>
    <mergeCell ref="T22:T26"/>
    <mergeCell ref="U22:U26"/>
    <mergeCell ref="A28:A32"/>
    <mergeCell ref="B28:B32"/>
    <mergeCell ref="E28:E32"/>
    <mergeCell ref="R28:R29"/>
    <mergeCell ref="S28:S32"/>
    <mergeCell ref="T28:T32"/>
    <mergeCell ref="U28:U32"/>
    <mergeCell ref="F29:F32"/>
    <mergeCell ref="A22:A26"/>
    <mergeCell ref="B22:B26"/>
    <mergeCell ref="E22:E26"/>
    <mergeCell ref="F22:F26"/>
    <mergeCell ref="G22:G26"/>
    <mergeCell ref="S22:S26"/>
    <mergeCell ref="S33:S34"/>
    <mergeCell ref="T33:T34"/>
    <mergeCell ref="A20:A21"/>
    <mergeCell ref="B20:B21"/>
    <mergeCell ref="E20:E21"/>
    <mergeCell ref="S20:S21"/>
    <mergeCell ref="T20:T21"/>
    <mergeCell ref="U20:U21"/>
    <mergeCell ref="A16:A18"/>
    <mergeCell ref="B16:B18"/>
    <mergeCell ref="E16:E18"/>
    <mergeCell ref="F16:F18"/>
    <mergeCell ref="G16:G18"/>
    <mergeCell ref="S16:S18"/>
    <mergeCell ref="A14:A15"/>
    <mergeCell ref="B14:B15"/>
    <mergeCell ref="E14:E15"/>
    <mergeCell ref="F14:F15"/>
    <mergeCell ref="G14:G15"/>
    <mergeCell ref="S14:S15"/>
    <mergeCell ref="T14:T15"/>
    <mergeCell ref="U14:U15"/>
    <mergeCell ref="T16:T18"/>
    <mergeCell ref="U16:U18"/>
    <mergeCell ref="R4:R5"/>
    <mergeCell ref="A7:A8"/>
    <mergeCell ref="B7:B8"/>
    <mergeCell ref="E7:E8"/>
    <mergeCell ref="R7:R8"/>
    <mergeCell ref="S7:S8"/>
    <mergeCell ref="T7:T8"/>
    <mergeCell ref="U7:U8"/>
    <mergeCell ref="A11:A13"/>
    <mergeCell ref="B11:B13"/>
    <mergeCell ref="E11:E13"/>
    <mergeCell ref="F11:F13"/>
    <mergeCell ref="G11:G13"/>
    <mergeCell ref="S11:S13"/>
    <mergeCell ref="T11:T13"/>
    <mergeCell ref="U11:U13"/>
    <mergeCell ref="A1:U1"/>
    <mergeCell ref="A2:A5"/>
    <mergeCell ref="B2:B5"/>
    <mergeCell ref="C2:Q2"/>
    <mergeCell ref="R2:R3"/>
    <mergeCell ref="S2:S5"/>
    <mergeCell ref="T2:T5"/>
    <mergeCell ref="U2:U5"/>
    <mergeCell ref="C3:G3"/>
    <mergeCell ref="H3:O3"/>
    <mergeCell ref="P3:Q3"/>
    <mergeCell ref="C4:D4"/>
    <mergeCell ref="E4:E5"/>
    <mergeCell ref="F4:F5"/>
    <mergeCell ref="G4:G5"/>
    <mergeCell ref="H4:H5"/>
    <mergeCell ref="I4:J4"/>
    <mergeCell ref="K4:K5"/>
    <mergeCell ref="L4:L5"/>
    <mergeCell ref="M4:M5"/>
    <mergeCell ref="N4:N5"/>
    <mergeCell ref="O4:O5"/>
    <mergeCell ref="P4:P5"/>
    <mergeCell ref="Q4:Q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KOPSAVILKUMS</vt:lpstr>
      <vt:lpstr>Aronas pagasts</vt:lpstr>
      <vt:lpstr>Barkavas pagasts</vt:lpstr>
      <vt:lpstr>Bērzaunes pagasts</vt:lpstr>
      <vt:lpstr>Cesvaines pagasts</vt:lpstr>
      <vt:lpstr>Cesvaines ielas</vt:lpstr>
      <vt:lpstr>Dzelzavas pagasts</vt:lpstr>
      <vt:lpstr>Ērgļu pagasts</vt:lpstr>
      <vt:lpstr>Indrānu pagasts</vt:lpstr>
      <vt:lpstr>Kalsnavas pagasts</vt:lpstr>
      <vt:lpstr>Jumurdas pagasts</vt:lpstr>
      <vt:lpstr>Ļaudonas pagasts</vt:lpstr>
      <vt:lpstr>Lazdonas pagasts</vt:lpstr>
      <vt:lpstr>Liezēres pagasts</vt:lpstr>
      <vt:lpstr>Lubānas ielas</vt:lpstr>
      <vt:lpstr>Madonas ielas</vt:lpstr>
      <vt:lpstr>Mārcienas pagasts</vt:lpstr>
      <vt:lpstr>Mētrienas pagasts</vt:lpstr>
      <vt:lpstr>Murmastienes pagasts</vt:lpstr>
      <vt:lpstr>Ošupes pagasts</vt:lpstr>
      <vt:lpstr>Praulienas pagasts</vt:lpstr>
      <vt:lpstr>Sarkaņu pagasts</vt:lpstr>
      <vt:lpstr>Sausnējas pagasts</vt:lpstr>
      <vt:lpstr>Varakļānu pagasts</vt:lpstr>
      <vt:lpstr>Varakļānu pilsēta</vt:lpstr>
      <vt:lpstr>Vestienas pagasts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Mikus</dc:creator>
  <cp:lastModifiedBy>Mikus</cp:lastModifiedBy>
  <dcterms:created xsi:type="dcterms:W3CDTF">2015-06-05T18:17:20Z</dcterms:created>
  <dcterms:modified xsi:type="dcterms:W3CDTF">2025-12-17T07:54:41Z</dcterms:modified>
</cp:coreProperties>
</file>